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a\Downloads\"/>
    </mc:Choice>
  </mc:AlternateContent>
  <xr:revisionPtr revIDLastSave="0" documentId="8_{5D51AF42-9A4A-4BCD-90A0-3131DDCEDB18}" xr6:coauthVersionLast="47" xr6:coauthVersionMax="47" xr10:uidLastSave="{00000000-0000-0000-0000-000000000000}"/>
  <bookViews>
    <workbookView xWindow="-110" yWindow="-110" windowWidth="25180" windowHeight="16140" firstSheet="3" activeTab="4" xr2:uid="{00000000-000D-0000-FFFF-FFFF00000000}"/>
  </bookViews>
  <sheets>
    <sheet name="Quant" sheetId="1" r:id="rId1"/>
    <sheet name="Quant Final" sheetId="5" r:id="rId2"/>
    <sheet name="Quant Comparable Valuation" sheetId="3" r:id="rId3"/>
    <sheet name="Footprint" sheetId="2" r:id="rId4"/>
    <sheet name="footprint final" sheetId="6" r:id="rId5"/>
    <sheet name="Sheet1" sheetId="7" r:id="rId6"/>
    <sheet name="Footprint Comparable Valuation" sheetId="4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2" l="1"/>
  <c r="B39" i="2"/>
  <c r="B40" i="2"/>
  <c r="B41" i="2"/>
  <c r="B42" i="2"/>
  <c r="B43" i="2"/>
  <c r="B44" i="2"/>
  <c r="B45" i="2"/>
  <c r="B37" i="2"/>
  <c r="I22" i="6"/>
  <c r="I14" i="6"/>
  <c r="I6" i="6"/>
  <c r="K25" i="5"/>
  <c r="K17" i="5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K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C12" i="2"/>
  <c r="B18" i="2"/>
  <c r="E35" i="1"/>
  <c r="D35" i="1"/>
  <c r="C35" i="1"/>
  <c r="C18" i="2"/>
  <c r="D18" i="2"/>
  <c r="C20" i="2"/>
  <c r="I7" i="4"/>
  <c r="F7" i="4"/>
  <c r="C7" i="4"/>
  <c r="H16" i="4"/>
  <c r="G20" i="4"/>
  <c r="F16" i="4"/>
  <c r="H14" i="4"/>
  <c r="H15" i="4" s="1"/>
  <c r="G18" i="4"/>
  <c r="G19" i="4" s="1"/>
  <c r="F14" i="4"/>
  <c r="F15" i="4" s="1"/>
  <c r="J7" i="3"/>
  <c r="G7" i="3"/>
  <c r="D7" i="3"/>
  <c r="O32" i="2"/>
  <c r="O31" i="2"/>
  <c r="O27" i="2"/>
  <c r="O28" i="2"/>
  <c r="O29" i="2"/>
  <c r="O30" i="2"/>
  <c r="O33" i="2"/>
  <c r="O34" i="2"/>
  <c r="N28" i="2"/>
  <c r="N29" i="2"/>
  <c r="N30" i="2"/>
  <c r="N31" i="2"/>
  <c r="N32" i="2"/>
  <c r="N33" i="2"/>
  <c r="N34" i="2"/>
  <c r="N27" i="2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F15" i="3"/>
  <c r="H21" i="3"/>
  <c r="G17" i="3"/>
  <c r="F17" i="3"/>
  <c r="Q26" i="1"/>
  <c r="Q27" i="1"/>
  <c r="Q28" i="1"/>
  <c r="Q29" i="1"/>
  <c r="Q30" i="1"/>
  <c r="Q25" i="1"/>
  <c r="P26" i="1"/>
  <c r="P27" i="1"/>
  <c r="P28" i="1"/>
  <c r="P29" i="1"/>
  <c r="P30" i="1"/>
  <c r="P25" i="1"/>
  <c r="O26" i="1"/>
  <c r="O27" i="1"/>
  <c r="O28" i="1"/>
  <c r="O29" i="1"/>
  <c r="O30" i="1"/>
  <c r="O25" i="1"/>
  <c r="C13" i="2"/>
  <c r="D12" i="2"/>
  <c r="H18" i="3"/>
  <c r="G14" i="3"/>
  <c r="F14" i="3"/>
  <c r="O12" i="2"/>
  <c r="P11" i="2"/>
  <c r="N11" i="2"/>
  <c r="O11" i="2"/>
  <c r="P12" i="2"/>
  <c r="P13" i="2"/>
  <c r="P14" i="2"/>
  <c r="P15" i="2"/>
  <c r="P16" i="2"/>
  <c r="O13" i="2"/>
  <c r="O14" i="2"/>
  <c r="O15" i="2"/>
  <c r="O16" i="2"/>
  <c r="N16" i="2"/>
  <c r="N15" i="2"/>
  <c r="N13" i="2"/>
  <c r="N12" i="2"/>
  <c r="N14" i="2"/>
  <c r="D20" i="2"/>
  <c r="D15" i="2"/>
  <c r="D16" i="2" s="1"/>
  <c r="C15" i="2"/>
  <c r="C16" i="2" s="1"/>
  <c r="D14" i="2"/>
  <c r="C14" i="2"/>
  <c r="D13" i="2"/>
  <c r="C21" i="1"/>
  <c r="C17" i="1" s="1"/>
  <c r="C22" i="1"/>
  <c r="C18" i="1" s="1"/>
  <c r="C10" i="1"/>
  <c r="D5" i="2"/>
  <c r="F5" i="2"/>
  <c r="E5" i="2"/>
  <c r="D4" i="2"/>
  <c r="D7" i="2" s="1"/>
  <c r="E4" i="2"/>
  <c r="E7" i="2" s="1"/>
  <c r="F4" i="2"/>
  <c r="F7" i="2" s="1"/>
  <c r="D7" i="1"/>
  <c r="D10" i="1" s="1"/>
  <c r="C7" i="1"/>
  <c r="E7" i="1"/>
  <c r="O6" i="2"/>
  <c r="M17" i="1"/>
  <c r="B27" i="2"/>
  <c r="B26" i="2"/>
  <c r="L7" i="1"/>
  <c r="E6" i="2" l="1"/>
  <c r="F6" i="2"/>
  <c r="D6" i="2"/>
  <c r="C8" i="1"/>
  <c r="E8" i="1"/>
  <c r="D8" i="1"/>
  <c r="D9" i="1" s="1"/>
  <c r="E10" i="1"/>
  <c r="E9" i="1"/>
  <c r="C9" i="1"/>
</calcChain>
</file>

<file path=xl/sharedStrings.xml><?xml version="1.0" encoding="utf-8"?>
<sst xmlns="http://schemas.openxmlformats.org/spreadsheetml/2006/main" count="282" uniqueCount="134">
  <si>
    <t xml:space="preserve">Discounted Cash Flow Analysis  (Quant) </t>
  </si>
  <si>
    <t>Year 1 (2021)</t>
  </si>
  <si>
    <t>Year 2 (2022)</t>
  </si>
  <si>
    <t>Year 3 (2023)</t>
  </si>
  <si>
    <t xml:space="preserve">CAPM Variables </t>
  </si>
  <si>
    <t>Net cash flow</t>
  </si>
  <si>
    <t>Interest Rate on Debt=</t>
  </si>
  <si>
    <t>FCF</t>
  </si>
  <si>
    <t xml:space="preserve">Effective Tax Rate= </t>
  </si>
  <si>
    <t xml:space="preserve">Expected Return = </t>
  </si>
  <si>
    <t xml:space="preserve">Discount Rate </t>
  </si>
  <si>
    <t xml:space="preserve">Risk Free Rate= </t>
  </si>
  <si>
    <t xml:space="preserve">Discounted FCF to PV </t>
  </si>
  <si>
    <t xml:space="preserve">Spread Indication= </t>
  </si>
  <si>
    <t xml:space="preserve">Beta= </t>
  </si>
  <si>
    <t>(r-rf)/rm</t>
  </si>
  <si>
    <t>PV</t>
  </si>
  <si>
    <t xml:space="preserve">Market Risk Premium = </t>
  </si>
  <si>
    <t>r=</t>
  </si>
  <si>
    <t>expected retrun of the stock</t>
  </si>
  <si>
    <t>rf=</t>
  </si>
  <si>
    <t>risk free rate</t>
  </si>
  <si>
    <t>rm=</t>
  </si>
  <si>
    <t xml:space="preserve">expected return of the market </t>
  </si>
  <si>
    <t xml:space="preserve">rf+marketi risk premium </t>
  </si>
  <si>
    <t>(Net income/Revenue)(Revenue/Average total assets)(Average total assets/average total equity)</t>
  </si>
  <si>
    <t>ROE=</t>
  </si>
  <si>
    <t>DUpont ROE</t>
  </si>
  <si>
    <t xml:space="preserve">If an investor is looking for a stock with a lower volatility, a beta of .45 may be appealing. </t>
  </si>
  <si>
    <t>Average total assets</t>
  </si>
  <si>
    <t>However, if the investor is looking for a stock when potentially higher returns, a higher beta may be preferred</t>
  </si>
  <si>
    <t>Assets under managment</t>
  </si>
  <si>
    <t xml:space="preserve">Average total equity </t>
  </si>
  <si>
    <t>2021 ratio</t>
  </si>
  <si>
    <t>2022 ratio</t>
  </si>
  <si>
    <t>2023 ratio</t>
  </si>
  <si>
    <t>Investments in Securities at Value</t>
  </si>
  <si>
    <t>Cash held by Internal Funds</t>
  </si>
  <si>
    <t>Cash &amp; Cash Equivalents</t>
  </si>
  <si>
    <t>Accounts Receviable</t>
  </si>
  <si>
    <t xml:space="preserve">Discount Rate= </t>
  </si>
  <si>
    <t>Risk Free Rate +Beta* (Market Risk Premium)</t>
  </si>
  <si>
    <t>Deferred Tax Assets</t>
  </si>
  <si>
    <t>Discounted FCF to PV</t>
  </si>
  <si>
    <t>FCF/(1+discount rate)^n</t>
  </si>
  <si>
    <t>Other Receiveables</t>
  </si>
  <si>
    <t>WACC</t>
  </si>
  <si>
    <t>cost of equity*%equity)+ (Cost of debt(1-tax rate)*% debt)+ (cost of prefered stock*% preffered stock)</t>
  </si>
  <si>
    <t>Total Assets</t>
  </si>
  <si>
    <t>PV= CF1/(1+r)^1</t>
  </si>
  <si>
    <t>P/E ratio=</t>
  </si>
  <si>
    <t>current ratio=</t>
  </si>
  <si>
    <t>Growth</t>
  </si>
  <si>
    <t>payout ratio=</t>
  </si>
  <si>
    <t>2021--&gt;2022</t>
  </si>
  <si>
    <t>2022--&gt;2023</t>
  </si>
  <si>
    <t>debt equity ratio=</t>
  </si>
  <si>
    <t>Total Investment Income</t>
  </si>
  <si>
    <t>Profit margin=</t>
  </si>
  <si>
    <t>Total Revenues</t>
  </si>
  <si>
    <t>Operating Margin=</t>
  </si>
  <si>
    <t>Total Compensation &amp; Benefits</t>
  </si>
  <si>
    <t>EBIT=</t>
  </si>
  <si>
    <t>Total Expenses</t>
  </si>
  <si>
    <t>Market cap=</t>
  </si>
  <si>
    <t>Net Income</t>
  </si>
  <si>
    <t>Total Liabilities</t>
  </si>
  <si>
    <t>Net Assets</t>
  </si>
  <si>
    <t>Quant</t>
  </si>
  <si>
    <t>2023 (Forecasted)</t>
  </si>
  <si>
    <t xml:space="preserve">Quant </t>
  </si>
  <si>
    <t xml:space="preserve">Net Cash Flow </t>
  </si>
  <si>
    <t>Employess</t>
  </si>
  <si>
    <t>Operating Margin</t>
  </si>
  <si>
    <t>Discount Rate</t>
  </si>
  <si>
    <t>Profit Margin</t>
  </si>
  <si>
    <t>EBIT</t>
  </si>
  <si>
    <t>Current Ratio</t>
  </si>
  <si>
    <t>Beta</t>
  </si>
  <si>
    <t>Quant Comparable Valuation</t>
  </si>
  <si>
    <t>current stock price*# of outstanding shares</t>
  </si>
  <si>
    <t xml:space="preserve">run ratemforma </t>
  </si>
  <si>
    <t>millions</t>
  </si>
  <si>
    <t>Total expenses</t>
  </si>
  <si>
    <t xml:space="preserve">operating income </t>
  </si>
  <si>
    <t>operating margin</t>
  </si>
  <si>
    <t>=(E18/71.44)*100</t>
  </si>
  <si>
    <t xml:space="preserve">profit margin </t>
  </si>
  <si>
    <t>EBIT= total revenues 2021- total expesnes 2021</t>
  </si>
  <si>
    <t>=(F18/105.13)*100</t>
  </si>
  <si>
    <t xml:space="preserve">expressed in percentages </t>
  </si>
  <si>
    <t>Discounted cash flow analysis</t>
  </si>
  <si>
    <t>CAPM</t>
  </si>
  <si>
    <t>Interest Rate on Debt</t>
  </si>
  <si>
    <t>Expected Return</t>
  </si>
  <si>
    <t>Effective Tax Rate</t>
  </si>
  <si>
    <t>r</t>
  </si>
  <si>
    <t>Risk Free Rate</t>
  </si>
  <si>
    <t>rf</t>
  </si>
  <si>
    <t>Discount rate</t>
  </si>
  <si>
    <t>Spread Indication</t>
  </si>
  <si>
    <t>rm</t>
  </si>
  <si>
    <t>Market Risk Premium</t>
  </si>
  <si>
    <t>(Netincome/Revenue)(Revenue/Average total assets)(Average total assets/average total equity)</t>
  </si>
  <si>
    <t>Dupont ROE</t>
  </si>
  <si>
    <t>Profit margin</t>
  </si>
  <si>
    <t>Asset Utilization</t>
  </si>
  <si>
    <t>Equity Multiplier</t>
  </si>
  <si>
    <t>Debt Ratio</t>
  </si>
  <si>
    <t>P/E ratio</t>
  </si>
  <si>
    <t>current ratio</t>
  </si>
  <si>
    <t>payout ratio</t>
  </si>
  <si>
    <t>debt equity ratio</t>
  </si>
  <si>
    <t>Market cap</t>
  </si>
  <si>
    <t>Averga total equity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</si>
  <si>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</si>
  <si>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</si>
  <si>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</si>
  <si>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</si>
  <si>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</si>
  <si>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</si>
  <si>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</si>
  <si>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</si>
  <si>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</si>
  <si>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</si>
  <si>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Footprint Asset Managment</t>
  </si>
  <si>
    <t xml:space="preserve">Footprint </t>
  </si>
  <si>
    <t>Footprint Financing Evaluation</t>
  </si>
  <si>
    <t>Alternative</t>
  </si>
  <si>
    <t>Fixed Income</t>
  </si>
  <si>
    <t>Equity</t>
  </si>
  <si>
    <t>Footprint Comparable Valuation</t>
  </si>
  <si>
    <t>Operating Income</t>
  </si>
  <si>
    <t xml:space="preserve">Profit Margin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</si>
</sst>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_);[Red]\(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444444"/>
      <name val="Calibri"/>
      <family val="2"/>
      <charset val="1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2" borderId="0" xfId="0" applyFill="1"/>
    <xf numFmtId="0" fontId="0" fillId="0" borderId="1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2" fillId="0" borderId="0" xfId="0" applyFont="1"/>
    <xf numFmtId="0" fontId="0" fillId="0" borderId="5" xfId="0" applyBorder="1"/>
    <xf numFmtId="10" fontId="0" fillId="0" borderId="5" xfId="0" applyNumberFormat="1" applyBorder="1"/>
    <xf numFmtId="2" fontId="0" fillId="2" borderId="5" xfId="0" applyNumberFormat="1" applyFill="1" applyBorder="1"/>
    <xf numFmtId="0" fontId="3" fillId="0" borderId="0" xfId="0" applyFont="1"/>
    <xf numFmtId="8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" fillId="0" borderId="0" xfId="0" applyFont="1"/>
    <xf numFmtId="0" fontId="0" fillId="0" borderId="0" xfId="0" quotePrefix="1"/>
    <xf numFmtId="0" fontId="0" fillId="0" borderId="12" xfId="0" applyBorder="1"/>
    <xf numFmtId="0" fontId="0" fillId="0" borderId="13" xfId="0" applyBorder="1"/>
    <xf numFmtId="0" fontId="0" fillId="2" borderId="6" xfId="0" applyFill="1" applyBorder="1"/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8" fontId="0" fillId="0" borderId="0" xfId="0" quotePrefix="1" applyNumberFormat="1"/>
    <xf numFmtId="0" fontId="1" fillId="3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5" xfId="0" applyFill="1" applyBorder="1"/>
    <xf numFmtId="10" fontId="0" fillId="2" borderId="5" xfId="0" applyNumberFormat="1" applyFill="1" applyBorder="1"/>
    <xf numFmtId="10" fontId="3" fillId="2" borderId="5" xfId="0" quotePrefix="1" applyNumberFormat="1" applyFont="1" applyFill="1" applyBorder="1"/>
    <xf numFmtId="8" fontId="1" fillId="2" borderId="5" xfId="0" applyNumberFormat="1" applyFont="1" applyFill="1" applyBorder="1"/>
    <xf numFmtId="0" fontId="0" fillId="2" borderId="9" xfId="0" applyFill="1" applyBorder="1"/>
    <xf numFmtId="10" fontId="0" fillId="2" borderId="0" xfId="0" quotePrefix="1" applyNumberFormat="1" applyFill="1"/>
    <xf numFmtId="0" fontId="0" fillId="2" borderId="10" xfId="0" applyFill="1" applyBorder="1"/>
    <xf numFmtId="0" fontId="1" fillId="2" borderId="27" xfId="0" applyFon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0" fontId="0" fillId="2" borderId="0" xfId="0" applyNumberFormat="1" applyFill="1"/>
    <xf numFmtId="10" fontId="0" fillId="2" borderId="10" xfId="0" applyNumberFormat="1" applyFill="1" applyBorder="1"/>
    <xf numFmtId="0" fontId="1" fillId="2" borderId="28" xfId="0" applyFont="1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0" fontId="0" fillId="2" borderId="0" xfId="0" quotePrefix="1" applyFill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2" borderId="21" xfId="0" applyFon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64" fontId="0" fillId="2" borderId="2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9" fontId="0" fillId="2" borderId="5" xfId="0" applyNumberFormat="1" applyFill="1" applyBorder="1"/>
    <xf numFmtId="0" fontId="0" fillId="2" borderId="30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164" fontId="6" fillId="7" borderId="0" xfId="0" applyNumberFormat="1" applyFont="1" applyFill="1" applyAlignment="1">
      <alignment horizontal="center" vertical="center"/>
    </xf>
    <xf numFmtId="164" fontId="6" fillId="7" borderId="12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0" xfId="0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5" borderId="10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8" fontId="0" fillId="5" borderId="12" xfId="0" applyNumberFormat="1" applyFill="1" applyBorder="1" applyAlignment="1">
      <alignment horizontal="center"/>
    </xf>
    <xf numFmtId="8" fontId="0" fillId="5" borderId="13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0" fontId="0" fillId="5" borderId="13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 vertical="center"/>
    </xf>
    <xf numFmtId="10" fontId="0" fillId="5" borderId="12" xfId="0" applyNumberForma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0" fontId="0" fillId="7" borderId="10" xfId="0" applyNumberFormat="1" applyFill="1" applyBorder="1" applyAlignment="1">
      <alignment horizontal="center" vertical="center"/>
    </xf>
    <xf numFmtId="10" fontId="0" fillId="7" borderId="0" xfId="0" applyNumberFormat="1" applyFill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9" fontId="0" fillId="7" borderId="10" xfId="0" applyNumberFormat="1" applyFill="1" applyBorder="1" applyAlignment="1">
      <alignment horizontal="center" vertical="center"/>
    </xf>
    <xf numFmtId="10" fontId="0" fillId="7" borderId="13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0" fontId="6" fillId="7" borderId="0" xfId="0" applyNumberFormat="1" applyFont="1" applyFill="1" applyAlignment="1">
      <alignment horizontal="center" vertical="center"/>
    </xf>
    <xf numFmtId="10" fontId="6" fillId="7" borderId="10" xfId="0" applyNumberFormat="1" applyFont="1" applyFill="1" applyBorder="1" applyAlignment="1">
      <alignment horizontal="center" vertical="center"/>
    </xf>
    <xf numFmtId="10" fontId="6" fillId="7" borderId="12" xfId="0" applyNumberFormat="1" applyFont="1" applyFill="1" applyBorder="1" applyAlignment="1">
      <alignment horizontal="center" vertical="center"/>
    </xf>
    <xf numFmtId="10" fontId="6" fillId="7" borderId="13" xfId="0" applyNumberFormat="1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6" borderId="35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10" fontId="6" fillId="5" borderId="10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0" fillId="0" borderId="0" xfId="0" applyNumberForma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Footprint Financing Recommendation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CC-40B2-86E6-F04EE1E2CA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CC-40B2-86E6-F04EE1E2CA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CC-40B2-86E6-F04EE1E2CA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Sheet1!$C$2:$C$4</c:f>
              <c:strCache>
                <c:ptCount val="3"/>
                <c:pt idx="0">
                  <c:v>Alternative</c:v>
                </c:pt>
                <c:pt idx="1">
                  <c:v>Fixed Income</c:v>
                </c:pt>
                <c:pt idx="2">
                  <c:v>Equity</c:v>
                </c:pt>
              </c:strCache>
            </c:strRef>
          </c:cat>
          <c:val>
            <c:numRef>
              <c:f>Sheet1!$D$2:$D$4</c:f>
              <c:numCache>
                <c:formatCode>#,##0</c:formatCode>
                <c:ptCount val="3"/>
                <c:pt idx="0">
                  <c:v>55354040</c:v>
                </c:pt>
                <c:pt idx="1">
                  <c:v>140593740</c:v>
                </c:pt>
                <c:pt idx="2">
                  <c:v>149152220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9-4D03-828F-27CA5785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64982502187229"/>
          <c:y val="0.89451459669378486"/>
          <c:w val="0.4727003499562554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6</xdr:row>
      <xdr:rowOff>47625</xdr:rowOff>
    </xdr:from>
    <xdr:to>
      <xdr:col>14</xdr:col>
      <xdr:colOff>9525</xdr:colOff>
      <xdr:row>20</xdr:row>
      <xdr:rowOff>123825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6568F06E-B012-E4E6-4B2F-C12E372731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4"/>
  <sheetViews>
    <sheetView topLeftCell="A22" workbookViewId="0">
      <selection activeCell="E36" sqref="E36"/>
    </sheetView>
  </sheetViews>
  <sheetFormatPr defaultRowHeight="14.5" x14ac:dyDescent="0.35"/>
  <cols>
    <col min="1" max="1" width="37.54296875" bestFit="1" customWidth="1"/>
    <col min="2" max="2" width="27.81640625" bestFit="1" customWidth="1"/>
    <col min="3" max="3" width="12.7265625" bestFit="1" customWidth="1"/>
    <col min="4" max="4" width="37.54296875" bestFit="1" customWidth="1"/>
    <col min="5" max="5" width="12.1796875" customWidth="1"/>
    <col min="8" max="8" width="22.453125" bestFit="1" customWidth="1"/>
    <col min="11" max="11" width="31.26953125" bestFit="1" customWidth="1"/>
    <col min="16" max="16" width="12.1796875" bestFit="1" customWidth="1"/>
  </cols>
  <sheetData>
    <row r="2" spans="1:13" x14ac:dyDescent="0.35">
      <c r="A2" s="1" t="s">
        <v>0</v>
      </c>
      <c r="D2" s="1"/>
      <c r="E2" s="1"/>
      <c r="F2" s="1"/>
    </row>
    <row r="3" spans="1:13" x14ac:dyDescent="0.35">
      <c r="A3" s="1"/>
      <c r="D3" s="1"/>
      <c r="E3" s="1"/>
      <c r="F3" s="1"/>
    </row>
    <row r="4" spans="1:13" x14ac:dyDescent="0.35">
      <c r="A4" s="1"/>
      <c r="D4" s="1"/>
      <c r="E4" s="1"/>
      <c r="F4" s="1"/>
    </row>
    <row r="5" spans="1:13" x14ac:dyDescent="0.35">
      <c r="B5" s="42"/>
      <c r="C5" s="42" t="s">
        <v>1</v>
      </c>
      <c r="D5" s="42" t="s">
        <v>2</v>
      </c>
      <c r="E5" s="42" t="s">
        <v>3</v>
      </c>
      <c r="H5" s="2" t="s">
        <v>4</v>
      </c>
    </row>
    <row r="6" spans="1:13" x14ac:dyDescent="0.35">
      <c r="B6" s="42" t="s">
        <v>5</v>
      </c>
      <c r="C6" s="42">
        <v>52.49</v>
      </c>
      <c r="D6" s="42">
        <v>23.36</v>
      </c>
      <c r="E6" s="42">
        <v>50.51</v>
      </c>
      <c r="H6" s="12" t="s">
        <v>6</v>
      </c>
      <c r="I6" s="13">
        <v>3.95E-2</v>
      </c>
    </row>
    <row r="7" spans="1:13" x14ac:dyDescent="0.35">
      <c r="B7" s="42" t="s">
        <v>7</v>
      </c>
      <c r="C7" s="42">
        <f>116.3-(116.3*0.2)</f>
        <v>93.039999999999992</v>
      </c>
      <c r="D7" s="42">
        <f>71.44-(71.44*0.2)</f>
        <v>57.152000000000001</v>
      </c>
      <c r="E7" s="42">
        <f>105.13-(105.13*0.2)</f>
        <v>84.103999999999999</v>
      </c>
      <c r="H7" s="12" t="s">
        <v>8</v>
      </c>
      <c r="I7" s="13">
        <v>0.13700000000000001</v>
      </c>
      <c r="K7" t="s">
        <v>9</v>
      </c>
      <c r="L7" s="3">
        <f>I10+I8</f>
        <v>0.09</v>
      </c>
    </row>
    <row r="8" spans="1:13" x14ac:dyDescent="0.35">
      <c r="B8" s="42" t="s">
        <v>10</v>
      </c>
      <c r="C8" s="43">
        <f xml:space="preserve"> (I8+I11)*(I10)</f>
        <v>2.2275E-2</v>
      </c>
      <c r="D8" s="44">
        <f xml:space="preserve"> (I8+I11)*(I10)</f>
        <v>2.2275E-2</v>
      </c>
      <c r="E8" s="44">
        <f xml:space="preserve"> (I8+I11)*(I10)</f>
        <v>2.2275E-2</v>
      </c>
      <c r="H8" s="12" t="s">
        <v>11</v>
      </c>
      <c r="I8" s="13">
        <v>4.4999999999999998E-2</v>
      </c>
    </row>
    <row r="9" spans="1:13" x14ac:dyDescent="0.35">
      <c r="B9" s="42" t="s">
        <v>12</v>
      </c>
      <c r="C9" s="42">
        <f>C7/(1+C8)^3</f>
        <v>87.089637187604325</v>
      </c>
      <c r="D9" s="42">
        <f t="shared" ref="D9:E9" si="0">D7/(1+D8)^3</f>
        <v>53.496850220829351</v>
      </c>
      <c r="E9" s="42">
        <f t="shared" si="0"/>
        <v>78.725138069929869</v>
      </c>
      <c r="H9" s="12" t="s">
        <v>13</v>
      </c>
      <c r="I9" s="13">
        <v>3.2500000000000001E-2</v>
      </c>
      <c r="K9" t="s">
        <v>14</v>
      </c>
      <c r="L9" t="s">
        <v>15</v>
      </c>
    </row>
    <row r="10" spans="1:13" x14ac:dyDescent="0.35">
      <c r="B10" s="42" t="s">
        <v>16</v>
      </c>
      <c r="C10" s="45">
        <f>93.04/(1+0.0395)^3</f>
        <v>82.831632483768928</v>
      </c>
      <c r="D10" s="45">
        <f>D7/(1+0.0395)^3</f>
        <v>50.881271063116529</v>
      </c>
      <c r="E10" s="45">
        <f>E7/(1+0.0395)^3</f>
        <v>74.876092201363946</v>
      </c>
      <c r="H10" s="12" t="s">
        <v>17</v>
      </c>
      <c r="I10" s="13">
        <v>4.4999999999999998E-2</v>
      </c>
      <c r="K10" t="s">
        <v>18</v>
      </c>
      <c r="L10" t="s">
        <v>19</v>
      </c>
    </row>
    <row r="11" spans="1:13" x14ac:dyDescent="0.35">
      <c r="H11" s="12" t="s">
        <v>14</v>
      </c>
      <c r="I11" s="14">
        <v>0.45</v>
      </c>
      <c r="K11" t="s">
        <v>20</v>
      </c>
      <c r="L11" t="s">
        <v>21</v>
      </c>
    </row>
    <row r="12" spans="1:13" x14ac:dyDescent="0.35">
      <c r="K12" t="s">
        <v>22</v>
      </c>
      <c r="L12" t="s">
        <v>23</v>
      </c>
    </row>
    <row r="13" spans="1:13" x14ac:dyDescent="0.35">
      <c r="K13" t="s">
        <v>22</v>
      </c>
      <c r="L13" t="s">
        <v>24</v>
      </c>
    </row>
    <row r="14" spans="1:13" x14ac:dyDescent="0.35">
      <c r="C14" t="s">
        <v>25</v>
      </c>
      <c r="L14" t="s">
        <v>18</v>
      </c>
      <c r="M14" s="4">
        <v>0.09</v>
      </c>
    </row>
    <row r="15" spans="1:13" x14ac:dyDescent="0.35">
      <c r="B15" s="42" t="s">
        <v>26</v>
      </c>
      <c r="C15" s="42" t="s">
        <v>27</v>
      </c>
      <c r="L15" s="4" t="s">
        <v>20</v>
      </c>
      <c r="M15" s="3">
        <v>4.4999999999999998E-2</v>
      </c>
    </row>
    <row r="16" spans="1:13" x14ac:dyDescent="0.35">
      <c r="B16" s="42">
        <v>2021</v>
      </c>
      <c r="C16" s="42"/>
      <c r="L16" t="s">
        <v>22</v>
      </c>
      <c r="M16" s="4">
        <v>0.1</v>
      </c>
    </row>
    <row r="17" spans="2:17" x14ac:dyDescent="0.35">
      <c r="B17" s="42">
        <v>2022</v>
      </c>
      <c r="C17" s="43">
        <f>(23.36/71.44)*(71.44/C21)*(C21/C25)</f>
        <v>0.11889855957652568</v>
      </c>
      <c r="L17" t="s">
        <v>14</v>
      </c>
      <c r="M17" s="10">
        <f>(M14-M15)/M16</f>
        <v>0.44999999999999996</v>
      </c>
    </row>
    <row r="18" spans="2:17" x14ac:dyDescent="0.35">
      <c r="B18" s="42">
        <v>2023</v>
      </c>
      <c r="C18" s="43">
        <f>(50.51/105.13)*(105.13/C22)*(C22/C26)</f>
        <v>0.16567717387739037</v>
      </c>
    </row>
    <row r="19" spans="2:17" x14ac:dyDescent="0.35">
      <c r="L19" t="s">
        <v>28</v>
      </c>
    </row>
    <row r="20" spans="2:17" x14ac:dyDescent="0.35">
      <c r="B20" t="s">
        <v>29</v>
      </c>
      <c r="I20" s="23"/>
      <c r="J20" s="24"/>
      <c r="L20" s="11" t="s">
        <v>30</v>
      </c>
    </row>
    <row r="21" spans="2:17" x14ac:dyDescent="0.35">
      <c r="B21">
        <v>2022</v>
      </c>
      <c r="C21">
        <f>(581.51+357.22)/2</f>
        <v>469.36500000000001</v>
      </c>
      <c r="I21" s="23"/>
      <c r="J21" s="24"/>
    </row>
    <row r="22" spans="2:17" x14ac:dyDescent="0.35">
      <c r="B22">
        <v>2023</v>
      </c>
      <c r="C22">
        <f>(357.22+525.64)/2</f>
        <v>441.43</v>
      </c>
      <c r="I22" s="23"/>
      <c r="J22" s="24"/>
    </row>
    <row r="23" spans="2:17" x14ac:dyDescent="0.35">
      <c r="I23" s="23"/>
      <c r="J23" s="24"/>
      <c r="K23" t="s">
        <v>31</v>
      </c>
    </row>
    <row r="24" spans="2:17" x14ac:dyDescent="0.35">
      <c r="B24" t="s">
        <v>32</v>
      </c>
      <c r="I24" s="23"/>
      <c r="J24" s="24"/>
      <c r="L24">
        <v>2021</v>
      </c>
      <c r="M24">
        <v>2022</v>
      </c>
      <c r="N24">
        <v>2023</v>
      </c>
      <c r="O24" t="s">
        <v>33</v>
      </c>
      <c r="P24" t="s">
        <v>34</v>
      </c>
      <c r="Q24" t="s">
        <v>35</v>
      </c>
    </row>
    <row r="25" spans="2:17" x14ac:dyDescent="0.35">
      <c r="B25">
        <v>2022</v>
      </c>
      <c r="C25">
        <v>196.47</v>
      </c>
      <c r="K25" s="8" t="s">
        <v>36</v>
      </c>
      <c r="L25" s="37">
        <v>377.97987499999999</v>
      </c>
      <c r="M25" s="33">
        <v>232.19300000000001</v>
      </c>
      <c r="N25" s="34">
        <v>341.66288000000003</v>
      </c>
      <c r="O25" s="3">
        <f>L25/$L$31</f>
        <v>0.65</v>
      </c>
      <c r="P25" s="3">
        <f>M25/$M$31</f>
        <v>0.65</v>
      </c>
      <c r="Q25" s="3">
        <f>N25/$N$31</f>
        <v>0.65</v>
      </c>
    </row>
    <row r="26" spans="2:17" x14ac:dyDescent="0.35">
      <c r="B26">
        <v>2023</v>
      </c>
      <c r="C26">
        <v>304.87</v>
      </c>
      <c r="K26" s="8" t="s">
        <v>37</v>
      </c>
      <c r="L26" s="37">
        <v>52.335674999999995</v>
      </c>
      <c r="M26" s="33">
        <v>32.149799999999999</v>
      </c>
      <c r="N26" s="34">
        <v>47.307168000000004</v>
      </c>
      <c r="O26" s="3">
        <f t="shared" ref="O26:O30" si="1">L26/$L$31</f>
        <v>0.09</v>
      </c>
      <c r="P26" s="3">
        <f t="shared" ref="P26:P30" si="2">M26/$M$31</f>
        <v>0.09</v>
      </c>
      <c r="Q26" s="3">
        <f t="shared" ref="Q26:Q30" si="3">N26/$N$31</f>
        <v>0.09</v>
      </c>
    </row>
    <row r="27" spans="2:17" x14ac:dyDescent="0.35">
      <c r="K27" s="8" t="s">
        <v>38</v>
      </c>
      <c r="L27" s="37">
        <v>58.150749999999995</v>
      </c>
      <c r="M27" s="33">
        <v>35.722000000000001</v>
      </c>
      <c r="N27" s="34">
        <v>52.563520000000011</v>
      </c>
      <c r="O27" s="3">
        <f t="shared" si="1"/>
        <v>0.1</v>
      </c>
      <c r="P27" s="3">
        <f t="shared" si="2"/>
        <v>9.9999999999999992E-2</v>
      </c>
      <c r="Q27" s="3">
        <f t="shared" si="3"/>
        <v>0.1</v>
      </c>
    </row>
    <row r="28" spans="2:17" x14ac:dyDescent="0.35">
      <c r="K28" s="8" t="s">
        <v>39</v>
      </c>
      <c r="L28" s="37">
        <v>5.8150749999999993</v>
      </c>
      <c r="M28" s="33">
        <v>3.5722000000000005</v>
      </c>
      <c r="N28" s="34">
        <v>5.2563520000000006</v>
      </c>
      <c r="O28" s="3">
        <f t="shared" si="1"/>
        <v>0.01</v>
      </c>
      <c r="P28" s="3">
        <f t="shared" si="2"/>
        <v>0.01</v>
      </c>
      <c r="Q28" s="3">
        <f t="shared" si="3"/>
        <v>0.01</v>
      </c>
    </row>
    <row r="29" spans="2:17" x14ac:dyDescent="0.35">
      <c r="B29" t="s">
        <v>40</v>
      </c>
      <c r="C29" t="s">
        <v>41</v>
      </c>
      <c r="K29" s="8" t="s">
        <v>42</v>
      </c>
      <c r="L29" s="37">
        <v>29.075374999999998</v>
      </c>
      <c r="M29" s="33">
        <v>17.861000000000001</v>
      </c>
      <c r="N29" s="34">
        <v>26.281760000000006</v>
      </c>
      <c r="O29" s="3">
        <f t="shared" si="1"/>
        <v>0.05</v>
      </c>
      <c r="P29" s="3">
        <f t="shared" si="2"/>
        <v>4.9999999999999996E-2</v>
      </c>
      <c r="Q29" s="3">
        <f t="shared" si="3"/>
        <v>0.05</v>
      </c>
    </row>
    <row r="30" spans="2:17" x14ac:dyDescent="0.35">
      <c r="B30" t="s">
        <v>43</v>
      </c>
      <c r="C30" s="15" t="s">
        <v>44</v>
      </c>
      <c r="K30" s="8" t="s">
        <v>45</v>
      </c>
      <c r="L30" s="37">
        <v>58.150750000000016</v>
      </c>
      <c r="M30" s="33">
        <v>35.722000000000037</v>
      </c>
      <c r="N30" s="34">
        <v>52.563519999999983</v>
      </c>
      <c r="O30" s="3">
        <f t="shared" si="1"/>
        <v>0.10000000000000003</v>
      </c>
      <c r="P30" s="3">
        <f t="shared" si="2"/>
        <v>0.10000000000000009</v>
      </c>
      <c r="Q30" s="3">
        <f t="shared" si="3"/>
        <v>9.999999999999995E-2</v>
      </c>
    </row>
    <row r="31" spans="2:17" x14ac:dyDescent="0.35">
      <c r="B31" t="s">
        <v>46</v>
      </c>
      <c r="C31" t="s">
        <v>47</v>
      </c>
      <c r="K31" s="32" t="s">
        <v>48</v>
      </c>
      <c r="L31" s="38">
        <v>581.50749999999994</v>
      </c>
      <c r="M31" s="35">
        <v>357.22</v>
      </c>
      <c r="N31" s="36">
        <v>525.63520000000005</v>
      </c>
    </row>
    <row r="32" spans="2:17" x14ac:dyDescent="0.35">
      <c r="B32" t="s">
        <v>49</v>
      </c>
    </row>
    <row r="33" spans="2:16" x14ac:dyDescent="0.35">
      <c r="C33">
        <v>2021</v>
      </c>
      <c r="D33">
        <v>2022</v>
      </c>
      <c r="E33">
        <v>2023</v>
      </c>
    </row>
    <row r="34" spans="2:16" x14ac:dyDescent="0.35">
      <c r="B34" t="s">
        <v>50</v>
      </c>
    </row>
    <row r="35" spans="2:16" x14ac:dyDescent="0.35">
      <c r="B35" t="s">
        <v>51</v>
      </c>
      <c r="C35">
        <f>581.51/296.57</f>
        <v>1.960784974879455</v>
      </c>
      <c r="D35">
        <f>357.22/160.75</f>
        <v>2.2222083981337484</v>
      </c>
      <c r="E35">
        <f>525.64/220.77</f>
        <v>2.3809394392354033</v>
      </c>
      <c r="K35" s="5" t="s">
        <v>52</v>
      </c>
      <c r="L35" s="5"/>
      <c r="M35" s="5"/>
      <c r="N35" s="5"/>
      <c r="O35" s="5"/>
      <c r="P35" s="5"/>
    </row>
    <row r="36" spans="2:16" x14ac:dyDescent="0.35">
      <c r="B36" t="s">
        <v>53</v>
      </c>
      <c r="K36" s="5"/>
      <c r="L36" s="5">
        <v>2021</v>
      </c>
      <c r="M36" s="5">
        <v>2022</v>
      </c>
      <c r="N36" s="5">
        <v>2023</v>
      </c>
      <c r="O36" s="5" t="s">
        <v>54</v>
      </c>
      <c r="P36" s="5" t="s">
        <v>55</v>
      </c>
    </row>
    <row r="37" spans="2:16" x14ac:dyDescent="0.35">
      <c r="B37" t="s">
        <v>56</v>
      </c>
      <c r="K37" s="63" t="s">
        <v>57</v>
      </c>
      <c r="L37" s="50">
        <v>3.7559999999999998</v>
      </c>
      <c r="M37" s="51">
        <v>-2.1579999999999999</v>
      </c>
      <c r="N37" s="64">
        <v>-1.823</v>
      </c>
      <c r="O37" s="53">
        <f t="shared" ref="O37:P44" si="4">M37/L37</f>
        <v>-0.57454739084132056</v>
      </c>
      <c r="P37" s="53">
        <f t="shared" si="4"/>
        <v>0.84476367006487485</v>
      </c>
    </row>
    <row r="38" spans="2:16" x14ac:dyDescent="0.35">
      <c r="B38" t="s">
        <v>58</v>
      </c>
      <c r="K38" s="65" t="s">
        <v>59</v>
      </c>
      <c r="L38" s="50">
        <v>116.30149999999999</v>
      </c>
      <c r="M38" s="51">
        <v>71.444000000000003</v>
      </c>
      <c r="N38" s="52">
        <v>105.12704000000001</v>
      </c>
      <c r="O38" s="53">
        <f t="shared" si="4"/>
        <v>0.61429990154899128</v>
      </c>
      <c r="P38" s="53">
        <f t="shared" si="4"/>
        <v>1.4714607244835116</v>
      </c>
    </row>
    <row r="39" spans="2:16" x14ac:dyDescent="0.35">
      <c r="B39" t="s">
        <v>60</v>
      </c>
      <c r="K39" s="63" t="s">
        <v>61</v>
      </c>
      <c r="L39" s="50">
        <v>42.86703</v>
      </c>
      <c r="M39" s="51">
        <v>24.432984000000005</v>
      </c>
      <c r="N39" s="64">
        <v>41.337337200000007</v>
      </c>
      <c r="O39" s="53">
        <f t="shared" si="4"/>
        <v>0.56997146758242889</v>
      </c>
      <c r="P39" s="53">
        <f t="shared" si="4"/>
        <v>1.6918660938017231</v>
      </c>
    </row>
    <row r="40" spans="2:16" x14ac:dyDescent="0.35">
      <c r="B40" t="s">
        <v>62</v>
      </c>
      <c r="K40" s="65" t="s">
        <v>63</v>
      </c>
      <c r="L40" s="50">
        <v>55.473000000000006</v>
      </c>
      <c r="M40" s="51">
        <v>44.378400000000006</v>
      </c>
      <c r="N40" s="52">
        <v>46.597320000000011</v>
      </c>
      <c r="O40" s="53">
        <f t="shared" si="4"/>
        <v>0.8</v>
      </c>
      <c r="P40" s="53">
        <f t="shared" si="4"/>
        <v>1.05</v>
      </c>
    </row>
    <row r="41" spans="2:16" x14ac:dyDescent="0.35">
      <c r="B41" t="s">
        <v>64</v>
      </c>
      <c r="K41" s="66" t="s">
        <v>65</v>
      </c>
      <c r="L41" s="57">
        <v>52.494995499999987</v>
      </c>
      <c r="M41" s="58">
        <v>23.357612799999998</v>
      </c>
      <c r="N41" s="67">
        <v>50.511148359999993</v>
      </c>
      <c r="O41" s="53">
        <f t="shared" si="4"/>
        <v>0.4449493247408699</v>
      </c>
      <c r="P41" s="53">
        <f t="shared" si="4"/>
        <v>2.1625133010167885</v>
      </c>
    </row>
    <row r="42" spans="2:16" x14ac:dyDescent="0.35">
      <c r="K42" s="65" t="s">
        <v>48</v>
      </c>
      <c r="L42" s="50">
        <v>581.50749999999994</v>
      </c>
      <c r="M42" s="51">
        <v>357.22</v>
      </c>
      <c r="N42" s="52">
        <v>525.63520000000005</v>
      </c>
      <c r="O42" s="53">
        <f t="shared" si="4"/>
        <v>0.61429990154899128</v>
      </c>
      <c r="P42" s="53">
        <f t="shared" si="4"/>
        <v>1.4714607244835116</v>
      </c>
    </row>
    <row r="43" spans="2:16" x14ac:dyDescent="0.35">
      <c r="K43" s="65" t="s">
        <v>66</v>
      </c>
      <c r="L43" s="50">
        <v>296.56882499999995</v>
      </c>
      <c r="M43" s="51">
        <v>160.74900000000002</v>
      </c>
      <c r="N43" s="52">
        <v>220.766784</v>
      </c>
      <c r="O43" s="53">
        <f t="shared" si="4"/>
        <v>0.54202932489616884</v>
      </c>
      <c r="P43" s="53">
        <f t="shared" si="4"/>
        <v>1.3733633428512773</v>
      </c>
    </row>
    <row r="44" spans="2:16" x14ac:dyDescent="0.35">
      <c r="K44" s="66" t="s">
        <v>67</v>
      </c>
      <c r="L44" s="57">
        <v>284.93867499999999</v>
      </c>
      <c r="M44" s="58">
        <v>196.471</v>
      </c>
      <c r="N44" s="67">
        <v>304.86841600000002</v>
      </c>
      <c r="O44" s="53">
        <f t="shared" si="4"/>
        <v>0.68952029765703093</v>
      </c>
      <c r="P44" s="53">
        <f t="shared" si="4"/>
        <v>1.5517222185462487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4359-3D5D-48EC-8780-698F05C76265}">
  <dimension ref="A1:K27"/>
  <sheetViews>
    <sheetView topLeftCell="C1" workbookViewId="0">
      <selection activeCell="D15" sqref="D15"/>
    </sheetView>
  </sheetViews>
  <sheetFormatPr defaultRowHeight="14.5" x14ac:dyDescent="0.35"/>
  <cols>
    <col min="1" max="2" width="11.7265625" bestFit="1" customWidth="1"/>
    <col min="3" max="3" width="29.453125" bestFit="1" customWidth="1"/>
    <col min="4" max="4" width="12" bestFit="1" customWidth="1"/>
    <col min="5" max="5" width="7.54296875" bestFit="1" customWidth="1"/>
    <col min="6" max="6" width="17" bestFit="1" customWidth="1"/>
    <col min="7" max="8" width="12.1796875" bestFit="1" customWidth="1"/>
    <col min="10" max="10" width="16.7265625" bestFit="1" customWidth="1"/>
  </cols>
  <sheetData>
    <row r="1" spans="1:11" ht="26" x14ac:dyDescent="0.6">
      <c r="A1" s="71"/>
    </row>
    <row r="4" spans="1:11" ht="26" x14ac:dyDescent="0.6">
      <c r="B4" s="71"/>
      <c r="C4" s="72" t="s">
        <v>68</v>
      </c>
      <c r="D4" s="2"/>
      <c r="E4" s="2"/>
      <c r="F4" s="2"/>
      <c r="G4" s="2"/>
      <c r="H4" s="2"/>
      <c r="I4" s="2"/>
      <c r="J4" s="2"/>
      <c r="K4" s="2"/>
    </row>
    <row r="5" spans="1:11" x14ac:dyDescent="0.35">
      <c r="C5" s="85"/>
      <c r="D5" s="118">
        <v>2021</v>
      </c>
      <c r="E5" s="118">
        <v>2022</v>
      </c>
      <c r="F5" s="119" t="s">
        <v>69</v>
      </c>
      <c r="G5" s="2"/>
      <c r="H5" s="2"/>
      <c r="I5" s="2"/>
      <c r="J5" s="89">
        <v>2021</v>
      </c>
      <c r="K5" s="119" t="s">
        <v>70</v>
      </c>
    </row>
    <row r="6" spans="1:11" x14ac:dyDescent="0.35">
      <c r="C6" s="116" t="s">
        <v>71</v>
      </c>
      <c r="D6" s="78">
        <v>52.49</v>
      </c>
      <c r="E6" s="78">
        <v>23.36</v>
      </c>
      <c r="F6" s="79">
        <v>50.51</v>
      </c>
      <c r="G6" s="2"/>
      <c r="H6" s="2"/>
      <c r="I6" s="2"/>
      <c r="J6" s="116" t="s">
        <v>72</v>
      </c>
      <c r="K6" s="79">
        <v>72</v>
      </c>
    </row>
    <row r="7" spans="1:11" x14ac:dyDescent="0.35">
      <c r="C7" s="116" t="s">
        <v>7</v>
      </c>
      <c r="D7" s="78">
        <v>93.04</v>
      </c>
      <c r="E7" s="78">
        <v>57.15</v>
      </c>
      <c r="F7" s="79">
        <v>84.1</v>
      </c>
      <c r="G7" s="2"/>
      <c r="H7" s="2"/>
      <c r="I7" s="2"/>
      <c r="J7" s="116" t="s">
        <v>73</v>
      </c>
      <c r="K7" s="81">
        <v>0.52300000000000002</v>
      </c>
    </row>
    <row r="8" spans="1:11" x14ac:dyDescent="0.35">
      <c r="C8" s="116" t="s">
        <v>74</v>
      </c>
      <c r="D8" s="80">
        <v>2.23E-2</v>
      </c>
      <c r="E8" s="80">
        <v>2.23E-2</v>
      </c>
      <c r="F8" s="81">
        <v>2.23E-2</v>
      </c>
      <c r="G8" s="2"/>
      <c r="H8" s="2"/>
      <c r="I8" s="2"/>
      <c r="J8" s="116" t="s">
        <v>75</v>
      </c>
      <c r="K8" s="81">
        <v>0.45134999999999997</v>
      </c>
    </row>
    <row r="9" spans="1:11" x14ac:dyDescent="0.35">
      <c r="C9" s="116" t="s">
        <v>43</v>
      </c>
      <c r="D9" s="78">
        <v>87.09</v>
      </c>
      <c r="E9" s="78">
        <v>53.5</v>
      </c>
      <c r="F9" s="79">
        <v>78.73</v>
      </c>
      <c r="G9" s="2"/>
      <c r="H9" s="2"/>
      <c r="I9" s="2"/>
      <c r="J9" s="116" t="s">
        <v>76</v>
      </c>
      <c r="K9" s="79">
        <f>116.3-55.47</f>
        <v>60.83</v>
      </c>
    </row>
    <row r="10" spans="1:11" x14ac:dyDescent="0.35">
      <c r="C10" s="117" t="s">
        <v>16</v>
      </c>
      <c r="D10" s="83">
        <v>82.83</v>
      </c>
      <c r="E10" s="83">
        <v>50.88</v>
      </c>
      <c r="F10" s="84">
        <v>74.88</v>
      </c>
      <c r="G10" s="2"/>
      <c r="H10" s="2"/>
      <c r="I10" s="2"/>
      <c r="J10" s="117" t="s">
        <v>77</v>
      </c>
      <c r="K10" s="129">
        <v>1.96</v>
      </c>
    </row>
    <row r="11" spans="1:11" x14ac:dyDescent="0.35"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5">
      <c r="C12" s="123" t="s">
        <v>78</v>
      </c>
      <c r="D12" s="130">
        <v>0.45</v>
      </c>
      <c r="E12" s="2"/>
      <c r="F12" s="2"/>
      <c r="G12" s="2"/>
      <c r="H12" s="2"/>
      <c r="I12" s="2"/>
      <c r="J12" s="2"/>
      <c r="K12" s="2"/>
    </row>
    <row r="13" spans="1:11" x14ac:dyDescent="0.35">
      <c r="C13" s="2"/>
      <c r="D13" s="2"/>
      <c r="E13" s="2"/>
      <c r="F13" s="2"/>
      <c r="G13" s="2"/>
      <c r="H13" s="2"/>
      <c r="I13" s="2"/>
      <c r="J13" s="85">
        <v>2022</v>
      </c>
      <c r="K13" s="119" t="s">
        <v>70</v>
      </c>
    </row>
    <row r="14" spans="1:11" x14ac:dyDescent="0.35">
      <c r="C14" s="85"/>
      <c r="D14" s="119" t="s">
        <v>27</v>
      </c>
      <c r="E14" s="2"/>
      <c r="F14" s="2"/>
      <c r="G14" s="2"/>
      <c r="H14" s="2"/>
      <c r="I14" s="2"/>
      <c r="J14" s="116" t="s">
        <v>72</v>
      </c>
      <c r="K14" s="131">
        <v>72</v>
      </c>
    </row>
    <row r="15" spans="1:11" x14ac:dyDescent="0.35">
      <c r="C15" s="116">
        <v>2022</v>
      </c>
      <c r="D15" s="81">
        <v>0.11890000000000001</v>
      </c>
      <c r="E15" s="2"/>
      <c r="F15" s="2"/>
      <c r="G15" s="2"/>
      <c r="H15" s="2"/>
      <c r="I15" s="2"/>
      <c r="J15" s="116" t="s">
        <v>73</v>
      </c>
      <c r="K15" s="132">
        <v>0.37880000000000003</v>
      </c>
    </row>
    <row r="16" spans="1:11" x14ac:dyDescent="0.35">
      <c r="C16" s="117">
        <v>2023</v>
      </c>
      <c r="D16" s="86">
        <v>0.16569999999999999</v>
      </c>
      <c r="E16" s="2"/>
      <c r="F16" s="2"/>
      <c r="G16" s="2"/>
      <c r="H16" s="2"/>
      <c r="I16" s="2"/>
      <c r="J16" s="116" t="s">
        <v>75</v>
      </c>
      <c r="K16" s="132">
        <v>0.32690000000000002</v>
      </c>
    </row>
    <row r="17" spans="3:11" x14ac:dyDescent="0.35">
      <c r="C17" s="2"/>
      <c r="D17" s="2"/>
      <c r="E17" s="2"/>
      <c r="F17" s="2"/>
      <c r="G17" s="2"/>
      <c r="H17" s="2"/>
      <c r="I17" s="2"/>
      <c r="J17" s="116" t="s">
        <v>76</v>
      </c>
      <c r="K17" s="131">
        <f>71.44-44.38</f>
        <v>27.059999999999995</v>
      </c>
    </row>
    <row r="18" spans="3:11" x14ac:dyDescent="0.35">
      <c r="C18" s="85" t="s">
        <v>52</v>
      </c>
      <c r="D18" s="76"/>
      <c r="E18" s="76"/>
      <c r="F18" s="76"/>
      <c r="G18" s="76"/>
      <c r="H18" s="77"/>
      <c r="I18" s="2"/>
      <c r="J18" s="117" t="s">
        <v>77</v>
      </c>
      <c r="K18" s="133">
        <v>2.2200000000000002</v>
      </c>
    </row>
    <row r="19" spans="3:11" x14ac:dyDescent="0.35">
      <c r="C19" s="82"/>
      <c r="D19" s="118">
        <v>2021</v>
      </c>
      <c r="E19" s="118">
        <v>2022</v>
      </c>
      <c r="F19" s="118">
        <v>2023</v>
      </c>
      <c r="G19" s="119" t="s">
        <v>54</v>
      </c>
      <c r="H19" s="126" t="s">
        <v>55</v>
      </c>
      <c r="I19" s="2"/>
      <c r="J19" s="2"/>
      <c r="K19" s="2"/>
    </row>
    <row r="20" spans="3:11" x14ac:dyDescent="0.35">
      <c r="C20" s="124" t="s">
        <v>57</v>
      </c>
      <c r="D20" s="73">
        <v>3.7559999999999998</v>
      </c>
      <c r="E20" s="73">
        <v>-2.1579999999999999</v>
      </c>
      <c r="F20" s="73">
        <v>-1.823</v>
      </c>
      <c r="G20" s="80">
        <f t="shared" ref="G20:H27" si="0">E20/D20</f>
        <v>-0.57454739084132056</v>
      </c>
      <c r="H20" s="81">
        <f t="shared" si="0"/>
        <v>0.84476367006487485</v>
      </c>
      <c r="I20" s="2"/>
      <c r="J20" s="2"/>
      <c r="K20" s="2"/>
    </row>
    <row r="21" spans="3:11" x14ac:dyDescent="0.35">
      <c r="C21" s="124" t="s">
        <v>59</v>
      </c>
      <c r="D21" s="73">
        <v>116.30149999999999</v>
      </c>
      <c r="E21" s="73">
        <v>71.444000000000003</v>
      </c>
      <c r="F21" s="73">
        <v>105.12704000000001</v>
      </c>
      <c r="G21" s="80">
        <f t="shared" si="0"/>
        <v>0.61429990154899128</v>
      </c>
      <c r="H21" s="81">
        <f t="shared" si="0"/>
        <v>1.4714607244835116</v>
      </c>
      <c r="I21" s="2"/>
      <c r="J21" s="85" t="s">
        <v>69</v>
      </c>
      <c r="K21" s="119" t="s">
        <v>70</v>
      </c>
    </row>
    <row r="22" spans="3:11" x14ac:dyDescent="0.35">
      <c r="C22" s="124" t="s">
        <v>61</v>
      </c>
      <c r="D22" s="73">
        <v>42.86703</v>
      </c>
      <c r="E22" s="73">
        <v>24.432984000000005</v>
      </c>
      <c r="F22" s="73">
        <v>41.337337200000007</v>
      </c>
      <c r="G22" s="80">
        <f t="shared" si="0"/>
        <v>0.56997146758242889</v>
      </c>
      <c r="H22" s="81">
        <f t="shared" si="0"/>
        <v>1.6918660938017231</v>
      </c>
      <c r="I22" s="2"/>
      <c r="J22" s="116" t="s">
        <v>72</v>
      </c>
      <c r="K22" s="131">
        <v>72</v>
      </c>
    </row>
    <row r="23" spans="3:11" x14ac:dyDescent="0.35">
      <c r="C23" s="124" t="s">
        <v>63</v>
      </c>
      <c r="D23" s="73">
        <v>55.473000000000006</v>
      </c>
      <c r="E23" s="73">
        <v>44.378400000000006</v>
      </c>
      <c r="F23" s="73">
        <v>46.597320000000011</v>
      </c>
      <c r="G23" s="80">
        <f t="shared" si="0"/>
        <v>0.8</v>
      </c>
      <c r="H23" s="81">
        <f t="shared" si="0"/>
        <v>1.05</v>
      </c>
      <c r="I23" s="2"/>
      <c r="J23" s="116" t="s">
        <v>73</v>
      </c>
      <c r="K23" s="132">
        <v>0.55669999999999997</v>
      </c>
    </row>
    <row r="24" spans="3:11" x14ac:dyDescent="0.35">
      <c r="C24" s="124" t="s">
        <v>65</v>
      </c>
      <c r="D24" s="73">
        <v>52.494995499999987</v>
      </c>
      <c r="E24" s="73">
        <v>23.357612799999998</v>
      </c>
      <c r="F24" s="73">
        <v>50.511148359999993</v>
      </c>
      <c r="G24" s="80">
        <f t="shared" si="0"/>
        <v>0.4449493247408699</v>
      </c>
      <c r="H24" s="81">
        <f t="shared" si="0"/>
        <v>2.1625133010167885</v>
      </c>
      <c r="I24" s="2"/>
      <c r="J24" s="116" t="s">
        <v>75</v>
      </c>
      <c r="K24" s="132">
        <v>0.48039999999999999</v>
      </c>
    </row>
    <row r="25" spans="3:11" x14ac:dyDescent="0.35">
      <c r="C25" s="124" t="s">
        <v>48</v>
      </c>
      <c r="D25" s="73">
        <v>581.50749999999994</v>
      </c>
      <c r="E25" s="73">
        <v>357.22</v>
      </c>
      <c r="F25" s="73">
        <v>525.63520000000005</v>
      </c>
      <c r="G25" s="80">
        <f t="shared" si="0"/>
        <v>0.61429990154899128</v>
      </c>
      <c r="H25" s="81">
        <f t="shared" si="0"/>
        <v>1.4714607244835116</v>
      </c>
      <c r="I25" s="2"/>
      <c r="J25" s="116" t="s">
        <v>76</v>
      </c>
      <c r="K25" s="131">
        <f>105.13-46.6</f>
        <v>58.529999999999994</v>
      </c>
    </row>
    <row r="26" spans="3:11" x14ac:dyDescent="0.35">
      <c r="C26" s="124" t="s">
        <v>66</v>
      </c>
      <c r="D26" s="73">
        <v>296.56882499999995</v>
      </c>
      <c r="E26" s="73">
        <v>160.74900000000002</v>
      </c>
      <c r="F26" s="73">
        <v>220.766784</v>
      </c>
      <c r="G26" s="80">
        <f t="shared" si="0"/>
        <v>0.54202932489616884</v>
      </c>
      <c r="H26" s="81">
        <f t="shared" si="0"/>
        <v>1.3733633428512773</v>
      </c>
      <c r="I26" s="2"/>
      <c r="J26" s="117" t="s">
        <v>77</v>
      </c>
      <c r="K26" s="133">
        <v>2.38</v>
      </c>
    </row>
    <row r="27" spans="3:11" x14ac:dyDescent="0.35">
      <c r="C27" s="125" t="s">
        <v>67</v>
      </c>
      <c r="D27" s="87">
        <v>284.93867499999999</v>
      </c>
      <c r="E27" s="87">
        <v>196.471</v>
      </c>
      <c r="F27" s="87">
        <v>304.86841600000002</v>
      </c>
      <c r="G27" s="88">
        <f t="shared" si="0"/>
        <v>0.68952029765703093</v>
      </c>
      <c r="H27" s="86">
        <f t="shared" si="0"/>
        <v>1.5517222185462487</v>
      </c>
      <c r="I27" s="2"/>
      <c r="J27" s="2"/>
      <c r="K2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6412-A304-4204-ACA7-98239CE9F787}">
  <dimension ref="A1:K25"/>
  <sheetViews>
    <sheetView workbookViewId="0">
      <selection activeCell="G7" sqref="G7"/>
    </sheetView>
  </sheetViews>
  <sheetFormatPr defaultRowHeight="14.5" x14ac:dyDescent="0.35"/>
  <cols>
    <col min="1" max="1" width="43.54296875" bestFit="1" customWidth="1"/>
    <col min="2" max="2" width="9.1796875" bestFit="1" customWidth="1"/>
    <col min="3" max="3" width="16.7265625" bestFit="1" customWidth="1"/>
    <col min="4" max="4" width="17.1796875" bestFit="1" customWidth="1"/>
    <col min="5" max="5" width="17.1796875" customWidth="1"/>
    <col min="6" max="6" width="16.7265625" bestFit="1" customWidth="1"/>
    <col min="7" max="7" width="7.54296875" bestFit="1" customWidth="1"/>
    <col min="8" max="8" width="9.1796875" bestFit="1" customWidth="1"/>
    <col min="9" max="9" width="16.7265625" bestFit="1" customWidth="1"/>
    <col min="10" max="10" width="7.54296875" bestFit="1" customWidth="1"/>
  </cols>
  <sheetData>
    <row r="1" spans="1:11" ht="23.5" x14ac:dyDescent="0.55000000000000004">
      <c r="A1" s="25" t="s">
        <v>79</v>
      </c>
    </row>
    <row r="2" spans="1:11" ht="23.5" x14ac:dyDescent="0.55000000000000004">
      <c r="A2" s="25"/>
    </row>
    <row r="3" spans="1:11" x14ac:dyDescent="0.35">
      <c r="A3" s="2"/>
      <c r="C3" s="68">
        <v>2021</v>
      </c>
      <c r="D3" s="42" t="s">
        <v>70</v>
      </c>
      <c r="F3" s="68">
        <v>2022</v>
      </c>
      <c r="G3" s="42" t="s">
        <v>70</v>
      </c>
      <c r="I3" s="68" t="s">
        <v>69</v>
      </c>
      <c r="J3" s="42" t="s">
        <v>70</v>
      </c>
    </row>
    <row r="4" spans="1:11" x14ac:dyDescent="0.35">
      <c r="C4" s="42" t="s">
        <v>72</v>
      </c>
      <c r="D4" s="42">
        <v>72</v>
      </c>
      <c r="F4" s="42" t="s">
        <v>72</v>
      </c>
      <c r="G4" s="42">
        <v>72</v>
      </c>
      <c r="I4" s="42" t="s">
        <v>72</v>
      </c>
      <c r="J4" s="42">
        <v>72</v>
      </c>
      <c r="K4" t="s">
        <v>80</v>
      </c>
    </row>
    <row r="5" spans="1:11" x14ac:dyDescent="0.35">
      <c r="C5" s="42" t="s">
        <v>73</v>
      </c>
      <c r="D5" s="43">
        <v>0.52300000000000002</v>
      </c>
      <c r="F5" s="42" t="s">
        <v>73</v>
      </c>
      <c r="G5" s="43">
        <v>0.37880000000000003</v>
      </c>
      <c r="I5" s="42" t="s">
        <v>73</v>
      </c>
      <c r="J5" s="43">
        <v>0.55669999999999997</v>
      </c>
    </row>
    <row r="6" spans="1:11" x14ac:dyDescent="0.35">
      <c r="C6" s="42" t="s">
        <v>75</v>
      </c>
      <c r="D6" s="43">
        <v>0.45134999999999997</v>
      </c>
      <c r="F6" s="42" t="s">
        <v>75</v>
      </c>
      <c r="G6" s="43">
        <v>0.32690000000000002</v>
      </c>
      <c r="I6" s="42" t="s">
        <v>75</v>
      </c>
      <c r="J6" s="43">
        <v>0.48039999999999999</v>
      </c>
    </row>
    <row r="7" spans="1:11" x14ac:dyDescent="0.35">
      <c r="C7" s="42" t="s">
        <v>76</v>
      </c>
      <c r="D7" s="42">
        <f>116.3-55.47</f>
        <v>60.83</v>
      </c>
      <c r="F7" s="42" t="s">
        <v>76</v>
      </c>
      <c r="G7" s="42">
        <f>71.44-44.38</f>
        <v>27.059999999999995</v>
      </c>
      <c r="I7" s="42" t="s">
        <v>76</v>
      </c>
      <c r="J7" s="42">
        <f>105.13-46.6</f>
        <v>58.529999999999994</v>
      </c>
    </row>
    <row r="8" spans="1:11" x14ac:dyDescent="0.35">
      <c r="A8" t="s">
        <v>81</v>
      </c>
      <c r="B8" t="s">
        <v>82</v>
      </c>
      <c r="C8" s="42" t="s">
        <v>77</v>
      </c>
      <c r="D8" s="42">
        <v>1.96</v>
      </c>
      <c r="F8" s="42" t="s">
        <v>77</v>
      </c>
      <c r="G8" s="42">
        <v>2.2200000000000002</v>
      </c>
      <c r="I8" s="42" t="s">
        <v>77</v>
      </c>
      <c r="J8" s="42">
        <v>2.38</v>
      </c>
    </row>
    <row r="11" spans="1:11" x14ac:dyDescent="0.35">
      <c r="D11" t="s">
        <v>70</v>
      </c>
    </row>
    <row r="12" spans="1:11" x14ac:dyDescent="0.35">
      <c r="F12">
        <v>2021</v>
      </c>
      <c r="G12">
        <v>2022</v>
      </c>
    </row>
    <row r="13" spans="1:11" x14ac:dyDescent="0.35">
      <c r="D13" t="s">
        <v>83</v>
      </c>
      <c r="F13" s="16">
        <v>55.47</v>
      </c>
      <c r="G13" s="16">
        <v>44.38</v>
      </c>
    </row>
    <row r="14" spans="1:11" x14ac:dyDescent="0.35">
      <c r="D14" t="s">
        <v>84</v>
      </c>
      <c r="F14" s="16">
        <f>116.3-F13</f>
        <v>60.83</v>
      </c>
      <c r="G14" s="16">
        <f>71.44-G13</f>
        <v>27.059999999999995</v>
      </c>
    </row>
    <row r="15" spans="1:11" x14ac:dyDescent="0.35">
      <c r="D15" s="1" t="s">
        <v>85</v>
      </c>
      <c r="F15" s="16">
        <f>(60.83/116.3)*100</f>
        <v>52.304385210662083</v>
      </c>
      <c r="G15" s="39" t="s">
        <v>86</v>
      </c>
    </row>
    <row r="16" spans="1:11" x14ac:dyDescent="0.35">
      <c r="F16" s="3"/>
      <c r="G16" s="3">
        <v>0.37880000000000003</v>
      </c>
      <c r="H16">
        <v>2023</v>
      </c>
    </row>
    <row r="17" spans="2:8" x14ac:dyDescent="0.35">
      <c r="B17" t="s">
        <v>82</v>
      </c>
      <c r="D17" t="s">
        <v>87</v>
      </c>
      <c r="F17">
        <f>(52.49/116.3)*100</f>
        <v>45.133276010318149</v>
      </c>
      <c r="G17">
        <f>(23.36/71.44)*100</f>
        <v>32.698768197088469</v>
      </c>
      <c r="H17" s="16">
        <v>46.6</v>
      </c>
    </row>
    <row r="18" spans="2:8" x14ac:dyDescent="0.35">
      <c r="B18" t="s">
        <v>82</v>
      </c>
      <c r="H18" s="16">
        <f>105.13-H17</f>
        <v>58.529999999999994</v>
      </c>
    </row>
    <row r="19" spans="2:8" x14ac:dyDescent="0.35">
      <c r="C19" t="s">
        <v>88</v>
      </c>
      <c r="E19" s="1"/>
      <c r="H19" s="39" t="s">
        <v>89</v>
      </c>
    </row>
    <row r="20" spans="2:8" x14ac:dyDescent="0.35">
      <c r="H20" s="3">
        <v>0.55669999999999997</v>
      </c>
    </row>
    <row r="21" spans="2:8" x14ac:dyDescent="0.35">
      <c r="B21" t="s">
        <v>90</v>
      </c>
      <c r="H21">
        <f>(50.51/105.13)*100</f>
        <v>48.045277275753826</v>
      </c>
    </row>
    <row r="23" spans="2:8" x14ac:dyDescent="0.35">
      <c r="B23">
        <v>2021</v>
      </c>
    </row>
    <row r="24" spans="2:8" x14ac:dyDescent="0.35">
      <c r="B24">
        <v>2022</v>
      </c>
    </row>
    <row r="25" spans="2:8" x14ac:dyDescent="0.35">
      <c r="B25">
        <v>2023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7FCD2-935A-49A7-801D-544A8A99B9A0}">
  <dimension ref="A1:R45"/>
  <sheetViews>
    <sheetView topLeftCell="A19" workbookViewId="0">
      <selection activeCell="B37" sqref="B37:B45"/>
    </sheetView>
  </sheetViews>
  <sheetFormatPr defaultRowHeight="14.5" x14ac:dyDescent="0.35"/>
  <cols>
    <col min="1" max="1" width="18.81640625" bestFit="1" customWidth="1"/>
    <col min="2" max="2" width="23.453125" customWidth="1"/>
    <col min="3" max="3" width="19.26953125" bestFit="1" customWidth="1"/>
    <col min="10" max="10" width="31.26953125" bestFit="1" customWidth="1"/>
    <col min="11" max="11" width="20.1796875" bestFit="1" customWidth="1"/>
    <col min="13" max="13" width="10.1796875" bestFit="1" customWidth="1"/>
    <col min="14" max="14" width="15.7265625" bestFit="1" customWidth="1"/>
    <col min="15" max="16" width="12.1796875" bestFit="1" customWidth="1"/>
  </cols>
  <sheetData>
    <row r="1" spans="1:18" x14ac:dyDescent="0.35">
      <c r="C1" s="29"/>
      <c r="D1" s="135" t="s">
        <v>91</v>
      </c>
      <c r="E1" s="135"/>
      <c r="F1" s="136"/>
      <c r="J1" s="17"/>
      <c r="K1" s="18" t="s">
        <v>92</v>
      </c>
      <c r="L1" s="18"/>
      <c r="M1" s="18"/>
      <c r="N1" s="18"/>
      <c r="O1" s="18"/>
      <c r="P1" s="19"/>
    </row>
    <row r="2" spans="1:18" x14ac:dyDescent="0.35">
      <c r="C2" s="46"/>
      <c r="D2" s="5">
        <v>2021</v>
      </c>
      <c r="E2" s="5">
        <v>2022</v>
      </c>
      <c r="F2" s="48">
        <v>2023</v>
      </c>
      <c r="J2" s="20"/>
      <c r="K2" s="6" t="s">
        <v>93</v>
      </c>
      <c r="L2" s="7">
        <v>3.95E-2</v>
      </c>
      <c r="N2" t="s">
        <v>94</v>
      </c>
      <c r="O2" s="4">
        <v>0.1</v>
      </c>
      <c r="P2" s="21"/>
    </row>
    <row r="3" spans="1:18" x14ac:dyDescent="0.35">
      <c r="C3" s="46" t="s">
        <v>5</v>
      </c>
      <c r="D3" s="5">
        <v>74.540000000000006</v>
      </c>
      <c r="E3" s="5">
        <v>35.72</v>
      </c>
      <c r="F3" s="48">
        <v>58.9</v>
      </c>
      <c r="J3" s="20"/>
      <c r="K3" s="8" t="s">
        <v>95</v>
      </c>
      <c r="L3" s="9">
        <v>0.13700000000000001</v>
      </c>
      <c r="N3" t="s">
        <v>96</v>
      </c>
      <c r="O3" s="4">
        <v>0.1</v>
      </c>
      <c r="P3" s="21"/>
    </row>
    <row r="4" spans="1:18" x14ac:dyDescent="0.35">
      <c r="C4" s="46" t="s">
        <v>7</v>
      </c>
      <c r="D4" s="59">
        <f>165.07-(165.07*0.2)</f>
        <v>132.05599999999998</v>
      </c>
      <c r="E4" s="5">
        <f>103.42-(103.42*0.2)</f>
        <v>82.736000000000004</v>
      </c>
      <c r="F4" s="48">
        <f>133.38-(133.38*0.2)</f>
        <v>106.70399999999999</v>
      </c>
      <c r="J4" s="20"/>
      <c r="K4" s="8" t="s">
        <v>97</v>
      </c>
      <c r="L4" s="9">
        <v>4.4999999999999998E-2</v>
      </c>
      <c r="N4" t="s">
        <v>98</v>
      </c>
      <c r="O4" s="3">
        <v>4.4999999999999998E-2</v>
      </c>
      <c r="P4" s="21"/>
    </row>
    <row r="5" spans="1:18" x14ac:dyDescent="0.35">
      <c r="C5" s="46" t="s">
        <v>99</v>
      </c>
      <c r="D5" s="47">
        <f>(Footprint!L4+Footprint!L7)*(Footprint!L6)</f>
        <v>5.7474999999999998E-2</v>
      </c>
      <c r="E5" s="53">
        <f>(L4+L7)*(L6)</f>
        <v>5.7474999999999998E-2</v>
      </c>
      <c r="F5" s="54">
        <f>(L4+L7)*(L6)</f>
        <v>5.7474999999999998E-2</v>
      </c>
      <c r="J5" s="20"/>
      <c r="K5" s="8" t="s">
        <v>100</v>
      </c>
      <c r="L5" s="9">
        <v>3.2500000000000001E-2</v>
      </c>
      <c r="N5" t="s">
        <v>101</v>
      </c>
      <c r="O5" s="3">
        <v>5.5E-2</v>
      </c>
      <c r="P5" s="21"/>
    </row>
    <row r="6" spans="1:18" x14ac:dyDescent="0.35">
      <c r="C6" s="46" t="s">
        <v>43</v>
      </c>
      <c r="D6" s="5">
        <f>D4/(1+D5)^3</f>
        <v>111.67290441777456</v>
      </c>
      <c r="E6" s="5">
        <f t="shared" ref="E6:F6" si="0">E4/(1+E5)^3</f>
        <v>69.965540527571619</v>
      </c>
      <c r="F6" s="48">
        <f t="shared" si="0"/>
        <v>90.234033993110629</v>
      </c>
      <c r="J6" s="20"/>
      <c r="K6" s="8" t="s">
        <v>102</v>
      </c>
      <c r="L6" s="9">
        <v>5.5E-2</v>
      </c>
      <c r="N6" t="s">
        <v>78</v>
      </c>
      <c r="O6" s="10">
        <f>(O3-O4)/O5</f>
        <v>1.0000000000000002</v>
      </c>
      <c r="P6" s="21"/>
    </row>
    <row r="7" spans="1:18" x14ac:dyDescent="0.35">
      <c r="C7" s="60" t="s">
        <v>16</v>
      </c>
      <c r="D7" s="61">
        <f>D4/(1+L2)^3</f>
        <v>117.56678911518259</v>
      </c>
      <c r="E7" s="61">
        <f>E4/(1+L2)^3</f>
        <v>73.658189436555318</v>
      </c>
      <c r="F7" s="62">
        <f>F4/(1+L2)^3</f>
        <v>94.996415655073932</v>
      </c>
      <c r="J7" s="22"/>
      <c r="K7" s="30" t="s">
        <v>78</v>
      </c>
      <c r="L7" s="31">
        <v>1</v>
      </c>
      <c r="M7" s="27"/>
      <c r="N7" s="27"/>
      <c r="O7" s="27"/>
      <c r="P7" s="28"/>
    </row>
    <row r="9" spans="1:18" x14ac:dyDescent="0.35">
      <c r="A9" s="17"/>
      <c r="B9" s="18"/>
      <c r="C9" s="18"/>
      <c r="D9" s="18"/>
      <c r="E9" s="18"/>
      <c r="F9" s="18"/>
      <c r="G9" s="18"/>
      <c r="H9" s="19"/>
      <c r="J9" s="17" t="s">
        <v>31</v>
      </c>
      <c r="K9" s="18"/>
      <c r="L9" s="18"/>
      <c r="M9" s="18"/>
      <c r="N9" s="18"/>
      <c r="O9" s="18"/>
      <c r="P9" s="18"/>
      <c r="Q9" s="18"/>
      <c r="R9" s="19"/>
    </row>
    <row r="10" spans="1:18" x14ac:dyDescent="0.35">
      <c r="A10" s="20" t="s">
        <v>26</v>
      </c>
      <c r="B10" t="s">
        <v>103</v>
      </c>
      <c r="H10" s="21"/>
      <c r="J10" s="20"/>
      <c r="K10">
        <v>2021</v>
      </c>
      <c r="L10">
        <v>2022</v>
      </c>
      <c r="M10">
        <v>2023</v>
      </c>
      <c r="N10" t="s">
        <v>33</v>
      </c>
      <c r="O10" t="s">
        <v>34</v>
      </c>
      <c r="P10" t="s">
        <v>35</v>
      </c>
      <c r="R10" s="21"/>
    </row>
    <row r="11" spans="1:18" x14ac:dyDescent="0.35">
      <c r="A11" s="20"/>
      <c r="B11">
        <v>2021</v>
      </c>
      <c r="C11">
        <v>2022</v>
      </c>
      <c r="D11">
        <v>2023</v>
      </c>
      <c r="H11" s="21"/>
      <c r="J11" s="41" t="s">
        <v>36</v>
      </c>
      <c r="K11" s="33">
        <v>536.47823124999991</v>
      </c>
      <c r="L11" s="33">
        <v>336.116625</v>
      </c>
      <c r="M11" s="34">
        <v>433.48313124999999</v>
      </c>
      <c r="N11" s="3">
        <f>K11/$K$17</f>
        <v>0.64999999999999991</v>
      </c>
      <c r="O11" s="3">
        <f>L11/$L$17</f>
        <v>0.65</v>
      </c>
      <c r="P11" s="3">
        <f>M11/$M$17</f>
        <v>0.65</v>
      </c>
      <c r="R11" s="21"/>
    </row>
    <row r="12" spans="1:18" x14ac:dyDescent="0.35">
      <c r="A12" s="46" t="s">
        <v>104</v>
      </c>
      <c r="B12" s="5"/>
      <c r="C12" s="47">
        <f>(35.72/103.42)*(103.42/671.225)*(671.225/222.35)</f>
        <v>0.16064762761412191</v>
      </c>
      <c r="D12" s="47">
        <f>(58.9/133.38)*(133.38/592)*(592/280.1)</f>
        <v>0.21028204212781149</v>
      </c>
      <c r="H12" s="21"/>
      <c r="J12" s="41" t="s">
        <v>37</v>
      </c>
      <c r="K12" s="33">
        <v>74.281601249999994</v>
      </c>
      <c r="L12" s="33">
        <v>46.539224999999995</v>
      </c>
      <c r="M12" s="34">
        <v>60.020741249999993</v>
      </c>
      <c r="N12" s="3">
        <f>K12/$K$17</f>
        <v>0.09</v>
      </c>
      <c r="O12" s="3">
        <f>L12/$L$17</f>
        <v>0.09</v>
      </c>
      <c r="P12" s="3">
        <f t="shared" ref="P12:P16" si="1">M12/$M$17</f>
        <v>0.09</v>
      </c>
      <c r="R12" s="21"/>
    </row>
    <row r="13" spans="1:18" x14ac:dyDescent="0.35">
      <c r="A13" s="20" t="s">
        <v>105</v>
      </c>
      <c r="C13" s="3">
        <f>(35.72/103.42)</f>
        <v>0.34538773931541289</v>
      </c>
      <c r="D13" s="3">
        <f>(58.9/133.38)</f>
        <v>0.44159544159544162</v>
      </c>
      <c r="H13" s="21"/>
      <c r="J13" s="41" t="s">
        <v>38</v>
      </c>
      <c r="K13" s="33">
        <v>82.535112499999997</v>
      </c>
      <c r="L13" s="33">
        <v>51.710250000000002</v>
      </c>
      <c r="M13" s="34">
        <v>66.689712499999999</v>
      </c>
      <c r="N13" s="3">
        <f>K13/$K$17</f>
        <v>0.1</v>
      </c>
      <c r="O13" s="3">
        <f t="shared" ref="O13:O16" si="2">L13/$L$17</f>
        <v>0.1</v>
      </c>
      <c r="P13" s="3">
        <f t="shared" si="1"/>
        <v>0.1</v>
      </c>
      <c r="R13" s="21"/>
    </row>
    <row r="14" spans="1:18" x14ac:dyDescent="0.35">
      <c r="A14" s="20" t="s">
        <v>106</v>
      </c>
      <c r="C14" s="3">
        <f>(103.42/671.225)</f>
        <v>0.15407650191813474</v>
      </c>
      <c r="D14" s="3">
        <f>(133.38/592)</f>
        <v>0.22530405405405404</v>
      </c>
      <c r="H14" s="21"/>
      <c r="J14" s="41" t="s">
        <v>39</v>
      </c>
      <c r="K14" s="33">
        <v>8.253511249999999</v>
      </c>
      <c r="L14" s="33">
        <v>5.1710249999999993</v>
      </c>
      <c r="M14" s="34">
        <v>6.6689712499999994</v>
      </c>
      <c r="N14" s="3">
        <f t="shared" ref="N14" si="3">K14/$K$17</f>
        <v>0.01</v>
      </c>
      <c r="O14" s="3">
        <f t="shared" si="2"/>
        <v>0.01</v>
      </c>
      <c r="P14" s="3">
        <f t="shared" si="1"/>
        <v>0.01</v>
      </c>
      <c r="R14" s="21"/>
    </row>
    <row r="15" spans="1:18" x14ac:dyDescent="0.35">
      <c r="A15" s="20" t="s">
        <v>107</v>
      </c>
      <c r="C15">
        <f>(671.225/222.35)</f>
        <v>3.0187767033955479</v>
      </c>
      <c r="D15">
        <f>(592/280.1)</f>
        <v>2.1135308818279186</v>
      </c>
      <c r="H15" s="21"/>
      <c r="J15" s="41" t="s">
        <v>42</v>
      </c>
      <c r="K15" s="33">
        <v>41.267556249999998</v>
      </c>
      <c r="L15" s="33">
        <v>25.855125000000001</v>
      </c>
      <c r="M15" s="34">
        <v>33.344856249999999</v>
      </c>
      <c r="N15" s="3">
        <f>K15/$K$17</f>
        <v>0.05</v>
      </c>
      <c r="O15" s="3">
        <f t="shared" si="2"/>
        <v>0.05</v>
      </c>
      <c r="P15" s="3">
        <f t="shared" si="1"/>
        <v>0.05</v>
      </c>
      <c r="R15" s="21"/>
    </row>
    <row r="16" spans="1:18" x14ac:dyDescent="0.35">
      <c r="A16" s="20" t="s">
        <v>108</v>
      </c>
      <c r="C16" s="26">
        <f>1-(1/C15)</f>
        <v>0.66873999031621301</v>
      </c>
      <c r="D16">
        <f>1-(1/D15)</f>
        <v>0.52685810810810807</v>
      </c>
      <c r="H16" s="21"/>
      <c r="J16" s="41" t="s">
        <v>45</v>
      </c>
      <c r="K16" s="33">
        <v>82.535112500000082</v>
      </c>
      <c r="L16" s="33">
        <v>51.71025000000003</v>
      </c>
      <c r="M16" s="34">
        <v>66.689712499999928</v>
      </c>
      <c r="N16" s="3">
        <f>K16/$K$17</f>
        <v>0.10000000000000012</v>
      </c>
      <c r="O16" s="3">
        <f t="shared" si="2"/>
        <v>0.10000000000000006</v>
      </c>
      <c r="P16" s="3">
        <f t="shared" si="1"/>
        <v>9.9999999999999895E-2</v>
      </c>
      <c r="R16" s="21"/>
    </row>
    <row r="17" spans="1:18" x14ac:dyDescent="0.35">
      <c r="A17" s="20" t="s">
        <v>109</v>
      </c>
      <c r="B17" s="26"/>
      <c r="H17" s="21"/>
      <c r="J17" s="40" t="s">
        <v>48</v>
      </c>
      <c r="K17" s="35">
        <v>825.35112499999991</v>
      </c>
      <c r="L17" s="35">
        <v>517.10249999999996</v>
      </c>
      <c r="M17" s="36">
        <v>666.89712499999996</v>
      </c>
      <c r="R17" s="21"/>
    </row>
    <row r="18" spans="1:18" x14ac:dyDescent="0.35">
      <c r="A18" s="20" t="s">
        <v>110</v>
      </c>
      <c r="B18">
        <f>825.35/453.94</f>
        <v>1.8181918315195842</v>
      </c>
      <c r="C18">
        <f>517.1/294.75</f>
        <v>1.7543681085665819</v>
      </c>
      <c r="D18">
        <f>666.9/386.8</f>
        <v>1.7241468459152016</v>
      </c>
      <c r="H18" s="21"/>
      <c r="J18" s="20"/>
      <c r="R18" s="21"/>
    </row>
    <row r="19" spans="1:18" x14ac:dyDescent="0.35">
      <c r="A19" s="20" t="s">
        <v>111</v>
      </c>
      <c r="B19" s="26"/>
      <c r="H19" s="21"/>
      <c r="J19" s="22"/>
      <c r="K19" s="27"/>
      <c r="L19" s="27"/>
      <c r="M19" s="27"/>
      <c r="N19" s="27"/>
      <c r="O19" s="27"/>
      <c r="P19" s="27"/>
      <c r="Q19" s="27"/>
      <c r="R19" s="28"/>
    </row>
    <row r="20" spans="1:18" x14ac:dyDescent="0.35">
      <c r="A20" s="20" t="s">
        <v>112</v>
      </c>
      <c r="B20" s="26"/>
      <c r="C20">
        <f>C18</f>
        <v>1.7543681085665819</v>
      </c>
      <c r="D20">
        <f>D18</f>
        <v>1.7241468459152016</v>
      </c>
      <c r="H20" s="21"/>
    </row>
    <row r="21" spans="1:18" x14ac:dyDescent="0.35">
      <c r="A21" s="20" t="s">
        <v>105</v>
      </c>
      <c r="B21" s="26"/>
      <c r="H21" s="21"/>
    </row>
    <row r="22" spans="1:18" x14ac:dyDescent="0.35">
      <c r="A22" s="20" t="s">
        <v>73</v>
      </c>
      <c r="B22" s="26"/>
      <c r="H22" s="21"/>
    </row>
    <row r="23" spans="1:18" x14ac:dyDescent="0.35">
      <c r="A23" s="20" t="s">
        <v>76</v>
      </c>
      <c r="B23" s="26"/>
      <c r="H23" s="21"/>
    </row>
    <row r="24" spans="1:18" x14ac:dyDescent="0.35">
      <c r="A24" s="20" t="s">
        <v>113</v>
      </c>
      <c r="B24" s="26"/>
      <c r="H24" s="21"/>
      <c r="J24" s="17"/>
      <c r="K24" s="18"/>
      <c r="L24" s="18"/>
      <c r="M24" s="18"/>
      <c r="N24" s="18"/>
      <c r="O24" s="19"/>
    </row>
    <row r="25" spans="1:18" x14ac:dyDescent="0.35">
      <c r="A25" s="20" t="s">
        <v>29</v>
      </c>
      <c r="H25" s="21"/>
      <c r="J25" s="46" t="s">
        <v>52</v>
      </c>
      <c r="K25" s="5"/>
      <c r="L25" s="5"/>
      <c r="M25" s="5"/>
      <c r="N25" s="5"/>
      <c r="O25" s="48"/>
    </row>
    <row r="26" spans="1:18" x14ac:dyDescent="0.35">
      <c r="A26" s="20">
        <v>2022</v>
      </c>
      <c r="B26">
        <f>(825.35+517.1)/2</f>
        <v>671.22500000000002</v>
      </c>
      <c r="H26" s="21"/>
      <c r="J26" s="46"/>
      <c r="K26" s="5">
        <v>2021</v>
      </c>
      <c r="L26" s="5">
        <v>2022</v>
      </c>
      <c r="M26" s="5">
        <v>2023</v>
      </c>
      <c r="N26" s="5" t="s">
        <v>54</v>
      </c>
      <c r="O26" s="48" t="s">
        <v>55</v>
      </c>
    </row>
    <row r="27" spans="1:18" x14ac:dyDescent="0.35">
      <c r="A27" s="20">
        <v>2023</v>
      </c>
      <c r="B27">
        <f>(666.9+517.1)/2</f>
        <v>592</v>
      </c>
      <c r="H27" s="21"/>
      <c r="J27" s="49" t="s">
        <v>57</v>
      </c>
      <c r="K27" s="50">
        <v>4.6779999999999999</v>
      </c>
      <c r="L27" s="51">
        <v>1.3560000000000001</v>
      </c>
      <c r="M27" s="52">
        <v>3.157</v>
      </c>
      <c r="N27" s="53">
        <f>L27/K27</f>
        <v>0.28986746472851649</v>
      </c>
      <c r="O27" s="54">
        <f>M27/L27</f>
        <v>2.3281710914454274</v>
      </c>
    </row>
    <row r="28" spans="1:18" x14ac:dyDescent="0.35">
      <c r="A28" s="20"/>
      <c r="H28" s="21"/>
      <c r="J28" s="49" t="s">
        <v>59</v>
      </c>
      <c r="K28" s="50">
        <v>165.07022499999999</v>
      </c>
      <c r="L28" s="51">
        <v>103.42049999999999</v>
      </c>
      <c r="M28" s="52">
        <v>133.379425</v>
      </c>
      <c r="N28" s="53">
        <f t="shared" ref="N28:N34" si="4">L28/K28</f>
        <v>0.62652425657019606</v>
      </c>
      <c r="O28" s="54">
        <f t="shared" ref="O28:O34" si="5">M28/L28</f>
        <v>1.2896807209402392</v>
      </c>
    </row>
    <row r="29" spans="1:18" x14ac:dyDescent="0.35">
      <c r="A29" s="20" t="s">
        <v>114</v>
      </c>
      <c r="H29" s="21"/>
      <c r="J29" s="49" t="s">
        <v>61</v>
      </c>
      <c r="K29" s="51">
        <v>44.745811875000001</v>
      </c>
      <c r="L29" s="51">
        <v>34.945321500000006</v>
      </c>
      <c r="M29" s="52">
        <v>37.440307575000006</v>
      </c>
      <c r="N29" s="53">
        <f t="shared" si="4"/>
        <v>0.78097412999504334</v>
      </c>
      <c r="O29" s="54">
        <f t="shared" si="5"/>
        <v>1.0713968556563429</v>
      </c>
    </row>
    <row r="30" spans="1:18" x14ac:dyDescent="0.35">
      <c r="A30" s="20">
        <v>2022</v>
      </c>
      <c r="B30">
        <v>222.35</v>
      </c>
      <c r="H30" s="21"/>
      <c r="J30" s="49" t="s">
        <v>63</v>
      </c>
      <c r="K30" s="51">
        <v>77.537062500000005</v>
      </c>
      <c r="L30" s="51">
        <v>62.029650000000004</v>
      </c>
      <c r="M30" s="52">
        <v>65.131132500000007</v>
      </c>
      <c r="N30" s="53">
        <f t="shared" si="4"/>
        <v>0.8</v>
      </c>
      <c r="O30" s="54">
        <f t="shared" si="5"/>
        <v>1.05</v>
      </c>
    </row>
    <row r="31" spans="1:18" x14ac:dyDescent="0.35">
      <c r="A31" s="22">
        <v>2023</v>
      </c>
      <c r="B31" s="27">
        <v>280.10000000000002</v>
      </c>
      <c r="C31" s="27"/>
      <c r="D31" s="27"/>
      <c r="E31" s="27"/>
      <c r="F31" s="27"/>
      <c r="G31" s="27"/>
      <c r="H31" s="28"/>
      <c r="J31" s="55" t="s">
        <v>65</v>
      </c>
      <c r="K31" s="56">
        <v>75.541119237499984</v>
      </c>
      <c r="L31" s="57">
        <v>35.72030354999999</v>
      </c>
      <c r="M31" s="58">
        <v>58.898276427499994</v>
      </c>
      <c r="N31" s="53">
        <f t="shared" si="4"/>
        <v>0.47285907212594996</v>
      </c>
      <c r="O31" s="54">
        <f>M31/L31</f>
        <v>1.6488739057062132</v>
      </c>
    </row>
    <row r="32" spans="1:18" x14ac:dyDescent="0.35">
      <c r="J32" s="49" t="s">
        <v>48</v>
      </c>
      <c r="K32" s="51">
        <v>825.35112499999991</v>
      </c>
      <c r="L32" s="51">
        <v>517.10249999999996</v>
      </c>
      <c r="M32" s="52">
        <v>666.89712499999996</v>
      </c>
      <c r="N32" s="53">
        <f t="shared" si="4"/>
        <v>0.62652425657019617</v>
      </c>
      <c r="O32" s="54">
        <f>M32/L32</f>
        <v>1.2896807209402392</v>
      </c>
    </row>
    <row r="33" spans="1:15" x14ac:dyDescent="0.35">
      <c r="J33" s="49" t="s">
        <v>66</v>
      </c>
      <c r="K33" s="51">
        <v>453.94311875</v>
      </c>
      <c r="L33" s="51">
        <v>294.74842499999994</v>
      </c>
      <c r="M33" s="52">
        <v>386.80033249999997</v>
      </c>
      <c r="N33" s="53">
        <f t="shared" si="4"/>
        <v>0.64930695680911221</v>
      </c>
      <c r="O33" s="54">
        <f t="shared" si="5"/>
        <v>1.3123066985005944</v>
      </c>
    </row>
    <row r="34" spans="1:15" x14ac:dyDescent="0.35">
      <c r="J34" s="55" t="s">
        <v>67</v>
      </c>
      <c r="K34" s="56">
        <v>371.40800624999991</v>
      </c>
      <c r="L34" s="57">
        <v>222.35407499999999</v>
      </c>
      <c r="M34" s="58">
        <v>280.09679249999999</v>
      </c>
      <c r="N34" s="53">
        <f t="shared" si="4"/>
        <v>0.59867873405596528</v>
      </c>
      <c r="O34" s="54">
        <f t="shared" si="5"/>
        <v>1.2596881460346521</v>
      </c>
    </row>
    <row r="35" spans="1:15" x14ac:dyDescent="0.35">
      <c r="J35" s="20"/>
      <c r="O35" s="21"/>
    </row>
    <row r="36" spans="1:15" x14ac:dyDescent="0.35">
      <c r="A36" t="s">
        <v>115</v>
      </c>
      <c r="B36" s="134">
        <v>345100000</v>
      </c>
      <c r="J36" s="22"/>
      <c r="K36" s="27"/>
      <c r="L36" s="27"/>
      <c r="M36" s="27"/>
      <c r="N36" s="27"/>
      <c r="O36" s="28"/>
    </row>
    <row r="37" spans="1:15" x14ac:dyDescent="0.35">
      <c r="A37" t="s">
        <v>116</v>
      </c>
      <c r="B37">
        <f>B36*0.0188+B36</f>
        <v>351587880</v>
      </c>
    </row>
    <row r="38" spans="1:15" x14ac:dyDescent="0.35">
      <c r="A38" t="s">
        <v>117</v>
      </c>
      <c r="B38">
        <f t="shared" ref="B38:B45" si="6">B37*0.0188+B37</f>
        <v>358197732.14399999</v>
      </c>
    </row>
    <row r="39" spans="1:15" x14ac:dyDescent="0.35">
      <c r="A39" t="s">
        <v>118</v>
      </c>
      <c r="B39">
        <f t="shared" si="6"/>
        <v>364931849.50830722</v>
      </c>
    </row>
    <row r="40" spans="1:15" x14ac:dyDescent="0.35">
      <c r="A40" t="s">
        <v>119</v>
      </c>
      <c r="B40">
        <f t="shared" si="6"/>
        <v>371792568.2790634</v>
      </c>
    </row>
    <row r="41" spans="1:15" x14ac:dyDescent="0.35">
      <c r="A41" t="s">
        <v>120</v>
      </c>
      <c r="B41">
        <f t="shared" si="6"/>
        <v>378782268.56270981</v>
      </c>
    </row>
    <row r="42" spans="1:15" x14ac:dyDescent="0.35">
      <c r="A42" t="s">
        <v>121</v>
      </c>
      <c r="B42">
        <f t="shared" si="6"/>
        <v>385903375.21168876</v>
      </c>
    </row>
    <row r="43" spans="1:15" x14ac:dyDescent="0.35">
      <c r="A43" t="s">
        <v>122</v>
      </c>
      <c r="B43">
        <f t="shared" si="6"/>
        <v>393158358.66566849</v>
      </c>
    </row>
    <row r="44" spans="1:15" x14ac:dyDescent="0.35">
      <c r="A44" t="s">
        <v>123</v>
      </c>
      <c r="B44">
        <f t="shared" si="6"/>
        <v>400549735.80858308</v>
      </c>
    </row>
    <row r="45" spans="1:15" x14ac:dyDescent="0.35">
      <c r="A45" t="s">
        <v>124</v>
      </c>
      <c r="B45">
        <f t="shared" si="6"/>
        <v>408080070.84178442</v>
      </c>
    </row>
  </sheetData>
  <mergeCells count="1">
    <mergeCell ref="D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C85DE-48C2-4B49-A18C-3B9F23620714}">
  <dimension ref="A1:I24"/>
  <sheetViews>
    <sheetView tabSelected="1" workbookViewId="0">
      <selection activeCell="H18" sqref="H18"/>
    </sheetView>
  </sheetViews>
  <sheetFormatPr defaultRowHeight="14.5" x14ac:dyDescent="0.35"/>
  <cols>
    <col min="1" max="1" width="29.453125" bestFit="1" customWidth="1"/>
    <col min="2" max="2" width="11.81640625" bestFit="1" customWidth="1"/>
    <col min="3" max="3" width="9.7265625" bestFit="1" customWidth="1"/>
    <col min="4" max="4" width="7.54296875" bestFit="1" customWidth="1"/>
    <col min="5" max="6" width="12.1796875" bestFit="1" customWidth="1"/>
    <col min="8" max="8" width="16.7265625" bestFit="1" customWidth="1"/>
  </cols>
  <sheetData>
    <row r="1" spans="1:9" ht="26" x14ac:dyDescent="0.6">
      <c r="A1" s="137" t="s">
        <v>125</v>
      </c>
      <c r="B1" s="137"/>
      <c r="C1" s="137"/>
      <c r="D1" s="137"/>
      <c r="E1" s="137"/>
    </row>
    <row r="2" spans="1:9" ht="15.75" customHeight="1" x14ac:dyDescent="0.35">
      <c r="A2" s="92"/>
      <c r="B2" s="105">
        <v>2021</v>
      </c>
      <c r="C2" s="127">
        <v>2022</v>
      </c>
      <c r="D2" s="128">
        <v>2023</v>
      </c>
      <c r="E2" s="93"/>
      <c r="F2" s="23"/>
      <c r="G2" s="23"/>
      <c r="H2" s="94">
        <v>2021</v>
      </c>
      <c r="I2" s="122" t="s">
        <v>126</v>
      </c>
    </row>
    <row r="3" spans="1:9" x14ac:dyDescent="0.35">
      <c r="A3" s="120" t="s">
        <v>5</v>
      </c>
      <c r="B3" s="96">
        <v>74.540000000000006</v>
      </c>
      <c r="C3" s="96">
        <v>35.72</v>
      </c>
      <c r="D3" s="97">
        <v>58.9</v>
      </c>
      <c r="E3" s="23"/>
      <c r="F3" s="23"/>
      <c r="G3" s="23"/>
      <c r="H3" s="120" t="s">
        <v>72</v>
      </c>
      <c r="I3" s="98">
        <v>28</v>
      </c>
    </row>
    <row r="4" spans="1:9" x14ac:dyDescent="0.35">
      <c r="A4" s="120" t="s">
        <v>7</v>
      </c>
      <c r="B4" s="96">
        <v>132.05599999999998</v>
      </c>
      <c r="C4" s="96">
        <v>82.736000000000004</v>
      </c>
      <c r="D4" s="97">
        <v>106.70399999999999</v>
      </c>
      <c r="E4" s="23"/>
      <c r="F4" s="23"/>
      <c r="G4" s="23"/>
      <c r="H4" s="120" t="s">
        <v>73</v>
      </c>
      <c r="I4" s="99">
        <v>0.53029999999999999</v>
      </c>
    </row>
    <row r="5" spans="1:9" x14ac:dyDescent="0.35">
      <c r="A5" s="120" t="s">
        <v>99</v>
      </c>
      <c r="B5" s="100">
        <v>5.7474999999999998E-2</v>
      </c>
      <c r="C5" s="100">
        <v>5.7474999999999998E-2</v>
      </c>
      <c r="D5" s="99">
        <v>5.7474999999999998E-2</v>
      </c>
      <c r="E5" s="23"/>
      <c r="F5" s="23"/>
      <c r="G5" s="23"/>
      <c r="H5" s="120" t="s">
        <v>75</v>
      </c>
      <c r="I5" s="99">
        <v>0.45760000000000001</v>
      </c>
    </row>
    <row r="6" spans="1:9" x14ac:dyDescent="0.35">
      <c r="A6" s="120" t="s">
        <v>43</v>
      </c>
      <c r="B6" s="96">
        <v>111.67290441777456</v>
      </c>
      <c r="C6" s="96">
        <v>69.965540527571619</v>
      </c>
      <c r="D6" s="97">
        <v>90.234033993110629</v>
      </c>
      <c r="E6" s="23"/>
      <c r="F6" s="23"/>
      <c r="G6" s="23"/>
      <c r="H6" s="120" t="s">
        <v>76</v>
      </c>
      <c r="I6" s="98">
        <f>165.07-77.54</f>
        <v>87.529999999999987</v>
      </c>
    </row>
    <row r="7" spans="1:9" x14ac:dyDescent="0.35">
      <c r="A7" s="121" t="s">
        <v>16</v>
      </c>
      <c r="B7" s="102">
        <v>117.56678911518259</v>
      </c>
      <c r="C7" s="102">
        <v>73.658189436555318</v>
      </c>
      <c r="D7" s="103">
        <v>94.996415655073932</v>
      </c>
      <c r="E7" s="23"/>
      <c r="F7" s="23"/>
      <c r="G7" s="23"/>
      <c r="H7" s="121" t="s">
        <v>77</v>
      </c>
      <c r="I7" s="104">
        <v>1.82</v>
      </c>
    </row>
    <row r="8" spans="1:9" x14ac:dyDescent="0.35">
      <c r="A8" s="23"/>
      <c r="B8" s="23"/>
      <c r="C8" s="23"/>
      <c r="D8" s="23"/>
      <c r="E8" s="23"/>
      <c r="F8" s="23"/>
      <c r="G8" s="23"/>
      <c r="H8" s="23"/>
      <c r="I8" s="23"/>
    </row>
    <row r="9" spans="1:9" x14ac:dyDescent="0.35">
      <c r="A9" s="122" t="s">
        <v>78</v>
      </c>
      <c r="B9" s="106">
        <v>1</v>
      </c>
      <c r="C9" s="23"/>
      <c r="D9" s="23"/>
      <c r="E9" s="23"/>
      <c r="F9" s="23"/>
      <c r="G9" s="23"/>
    </row>
    <row r="10" spans="1:9" x14ac:dyDescent="0.35">
      <c r="A10" s="23"/>
      <c r="B10" s="23"/>
      <c r="C10" s="23"/>
      <c r="D10" s="23"/>
      <c r="E10" s="23"/>
      <c r="F10" s="23"/>
      <c r="G10" s="23"/>
      <c r="H10" s="94">
        <v>2022</v>
      </c>
      <c r="I10" s="122" t="s">
        <v>126</v>
      </c>
    </row>
    <row r="11" spans="1:9" x14ac:dyDescent="0.35">
      <c r="A11" s="94"/>
      <c r="B11" s="122" t="s">
        <v>104</v>
      </c>
      <c r="C11" s="23"/>
      <c r="D11" s="23"/>
      <c r="E11" s="23"/>
      <c r="F11" s="23"/>
      <c r="G11" s="23"/>
      <c r="H11" s="120" t="s">
        <v>72</v>
      </c>
      <c r="I11" s="98">
        <v>28</v>
      </c>
    </row>
    <row r="12" spans="1:9" x14ac:dyDescent="0.35">
      <c r="A12" s="120">
        <v>2022</v>
      </c>
      <c r="B12" s="99">
        <v>0.16059999999999999</v>
      </c>
      <c r="C12" s="23"/>
      <c r="D12" s="23"/>
      <c r="E12" s="23"/>
      <c r="F12" s="23"/>
      <c r="G12" s="23"/>
      <c r="H12" s="120" t="s">
        <v>73</v>
      </c>
      <c r="I12" s="99">
        <v>0.4002</v>
      </c>
    </row>
    <row r="13" spans="1:9" x14ac:dyDescent="0.35">
      <c r="A13" s="121">
        <v>2023</v>
      </c>
      <c r="B13" s="108">
        <v>0.21029999999999999</v>
      </c>
      <c r="C13" s="23"/>
      <c r="D13" s="23"/>
      <c r="E13" s="23"/>
      <c r="F13" s="23"/>
      <c r="G13" s="23"/>
      <c r="H13" s="120" t="s">
        <v>75</v>
      </c>
      <c r="I13" s="107">
        <v>0.5</v>
      </c>
    </row>
    <row r="14" spans="1:9" x14ac:dyDescent="0.35">
      <c r="A14" s="23"/>
      <c r="B14" s="23"/>
      <c r="C14" s="23"/>
      <c r="D14" s="23"/>
      <c r="E14" s="23"/>
      <c r="F14" s="23"/>
      <c r="G14" s="23"/>
      <c r="H14" s="120" t="s">
        <v>76</v>
      </c>
      <c r="I14" s="98">
        <f>103.42-62.03</f>
        <v>41.39</v>
      </c>
    </row>
    <row r="15" spans="1:9" x14ac:dyDescent="0.35">
      <c r="A15" s="94" t="s">
        <v>52</v>
      </c>
      <c r="B15" s="109"/>
      <c r="C15" s="109"/>
      <c r="D15" s="109"/>
      <c r="E15" s="109"/>
      <c r="F15" s="95"/>
      <c r="G15" s="23"/>
      <c r="H15" s="121" t="s">
        <v>77</v>
      </c>
      <c r="I15" s="104">
        <v>1.75</v>
      </c>
    </row>
    <row r="16" spans="1:9" x14ac:dyDescent="0.35">
      <c r="A16" s="101"/>
      <c r="B16" s="110">
        <v>2021</v>
      </c>
      <c r="C16" s="110">
        <v>2022</v>
      </c>
      <c r="D16" s="110">
        <v>2023</v>
      </c>
      <c r="E16" s="110" t="s">
        <v>54</v>
      </c>
      <c r="F16" s="111" t="s">
        <v>55</v>
      </c>
      <c r="G16" s="23"/>
    </row>
    <row r="17" spans="1:9" x14ac:dyDescent="0.35">
      <c r="A17" s="90" t="s">
        <v>57</v>
      </c>
      <c r="B17" s="74">
        <v>4.6779999999999999</v>
      </c>
      <c r="C17" s="74">
        <v>1.3560000000000001</v>
      </c>
      <c r="D17" s="74">
        <v>3.157</v>
      </c>
      <c r="E17" s="112">
        <f>C17/B17</f>
        <v>0.28986746472851649</v>
      </c>
      <c r="F17" s="113">
        <f>D17/C17</f>
        <v>2.3281710914454274</v>
      </c>
      <c r="G17" s="23"/>
    </row>
    <row r="18" spans="1:9" x14ac:dyDescent="0.35">
      <c r="A18" s="90" t="s">
        <v>59</v>
      </c>
      <c r="B18" s="74">
        <v>165.07022499999999</v>
      </c>
      <c r="C18" s="74">
        <v>103.42049999999999</v>
      </c>
      <c r="D18" s="74">
        <v>133.379425</v>
      </c>
      <c r="E18" s="112">
        <f t="shared" ref="E18:F24" si="0">C18/B18</f>
        <v>0.62652425657019606</v>
      </c>
      <c r="F18" s="113">
        <f t="shared" si="0"/>
        <v>1.2896807209402392</v>
      </c>
      <c r="G18" s="23"/>
      <c r="H18" s="94" t="s">
        <v>69</v>
      </c>
      <c r="I18" s="122" t="s">
        <v>126</v>
      </c>
    </row>
    <row r="19" spans="1:9" x14ac:dyDescent="0.35">
      <c r="A19" s="90" t="s">
        <v>61</v>
      </c>
      <c r="B19" s="74">
        <v>44.745811875000001</v>
      </c>
      <c r="C19" s="74">
        <v>34.945321500000006</v>
      </c>
      <c r="D19" s="74">
        <v>37.440307575000006</v>
      </c>
      <c r="E19" s="112">
        <f t="shared" si="0"/>
        <v>0.78097412999504334</v>
      </c>
      <c r="F19" s="113">
        <f t="shared" si="0"/>
        <v>1.0713968556563429</v>
      </c>
      <c r="G19" s="23"/>
      <c r="H19" s="120" t="s">
        <v>72</v>
      </c>
      <c r="I19" s="98">
        <v>28</v>
      </c>
    </row>
    <row r="20" spans="1:9" x14ac:dyDescent="0.35">
      <c r="A20" s="90" t="s">
        <v>63</v>
      </c>
      <c r="B20" s="74">
        <v>77.537062500000005</v>
      </c>
      <c r="C20" s="74">
        <v>62.029650000000004</v>
      </c>
      <c r="D20" s="74">
        <v>65.131132500000007</v>
      </c>
      <c r="E20" s="112">
        <f t="shared" si="0"/>
        <v>0.8</v>
      </c>
      <c r="F20" s="113">
        <f t="shared" si="0"/>
        <v>1.05</v>
      </c>
      <c r="G20" s="23"/>
      <c r="H20" s="120" t="s">
        <v>73</v>
      </c>
      <c r="I20" s="99">
        <v>0.51170000000000004</v>
      </c>
    </row>
    <row r="21" spans="1:9" x14ac:dyDescent="0.35">
      <c r="A21" s="90" t="s">
        <v>65</v>
      </c>
      <c r="B21" s="74">
        <v>75.541119237499984</v>
      </c>
      <c r="C21" s="74">
        <v>35.72030354999999</v>
      </c>
      <c r="D21" s="74">
        <v>58.898276427499994</v>
      </c>
      <c r="E21" s="112">
        <f t="shared" si="0"/>
        <v>0.47285907212594996</v>
      </c>
      <c r="F21" s="113">
        <f>D21/C21</f>
        <v>1.6488739057062132</v>
      </c>
      <c r="G21" s="23"/>
      <c r="H21" s="120" t="s">
        <v>75</v>
      </c>
      <c r="I21" s="99">
        <v>0.44159999999999999</v>
      </c>
    </row>
    <row r="22" spans="1:9" x14ac:dyDescent="0.35">
      <c r="A22" s="90" t="s">
        <v>48</v>
      </c>
      <c r="B22" s="74">
        <v>825.35112499999991</v>
      </c>
      <c r="C22" s="74">
        <v>517.10249999999996</v>
      </c>
      <c r="D22" s="74">
        <v>666.89712499999996</v>
      </c>
      <c r="E22" s="112">
        <f t="shared" si="0"/>
        <v>0.62652425657019617</v>
      </c>
      <c r="F22" s="113">
        <f>D22/C22</f>
        <v>1.2896807209402392</v>
      </c>
      <c r="G22" s="23"/>
      <c r="H22" s="120" t="s">
        <v>76</v>
      </c>
      <c r="I22" s="98">
        <f>133.38-65.13</f>
        <v>68.25</v>
      </c>
    </row>
    <row r="23" spans="1:9" x14ac:dyDescent="0.35">
      <c r="A23" s="90" t="s">
        <v>66</v>
      </c>
      <c r="B23" s="74">
        <v>453.94311875</v>
      </c>
      <c r="C23" s="74">
        <v>294.74842499999994</v>
      </c>
      <c r="D23" s="74">
        <v>386.80033249999997</v>
      </c>
      <c r="E23" s="112">
        <f t="shared" si="0"/>
        <v>0.64930695680911221</v>
      </c>
      <c r="F23" s="113">
        <f t="shared" si="0"/>
        <v>1.3123066985005944</v>
      </c>
      <c r="G23" s="23"/>
      <c r="H23" s="121" t="s">
        <v>77</v>
      </c>
      <c r="I23" s="104">
        <v>1.72</v>
      </c>
    </row>
    <row r="24" spans="1:9" x14ac:dyDescent="0.35">
      <c r="A24" s="91" t="s">
        <v>67</v>
      </c>
      <c r="B24" s="75">
        <v>371.40800624999991</v>
      </c>
      <c r="C24" s="75">
        <v>222.35407499999999</v>
      </c>
      <c r="D24" s="75">
        <v>280.09679249999999</v>
      </c>
      <c r="E24" s="114">
        <f t="shared" si="0"/>
        <v>0.59867873405596528</v>
      </c>
      <c r="F24" s="115">
        <f t="shared" si="0"/>
        <v>1.2596881460346521</v>
      </c>
      <c r="G24" s="23"/>
      <c r="H24" s="23"/>
      <c r="I24" s="23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6A7-90F8-4D50-87C9-2996BB4F5339}">
  <dimension ref="C1:E4"/>
  <sheetViews>
    <sheetView workbookViewId="0"/>
  </sheetViews>
  <sheetFormatPr defaultRowHeight="14.5" x14ac:dyDescent="0.35"/>
  <cols>
    <col min="3" max="3" width="12.7265625" bestFit="1" customWidth="1"/>
    <col min="4" max="4" width="12" bestFit="1" customWidth="1"/>
  </cols>
  <sheetData>
    <row r="1" spans="3:5" x14ac:dyDescent="0.35">
      <c r="C1" s="138" t="s">
        <v>127</v>
      </c>
      <c r="D1" s="138"/>
      <c r="E1" s="138"/>
    </row>
    <row r="2" spans="3:5" x14ac:dyDescent="0.35">
      <c r="C2" t="s">
        <v>128</v>
      </c>
      <c r="D2" s="134">
        <v>55354040</v>
      </c>
    </row>
    <row r="3" spans="3:5" x14ac:dyDescent="0.35">
      <c r="C3" t="s">
        <v>129</v>
      </c>
      <c r="D3" s="134">
        <v>140593740</v>
      </c>
    </row>
    <row r="4" spans="3:5" x14ac:dyDescent="0.35">
      <c r="C4" t="s">
        <v>130</v>
      </c>
      <c r="D4" s="134">
        <v>149152220</v>
      </c>
    </row>
  </sheetData>
  <mergeCells count="1">
    <mergeCell ref="C1:E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1C9F-E474-4190-8DF4-DAA539411CAD}">
  <dimension ref="A1:I20"/>
  <sheetViews>
    <sheetView workbookViewId="0">
      <selection activeCell="H3" sqref="H3:I8"/>
    </sheetView>
  </sheetViews>
  <sheetFormatPr defaultRowHeight="14.5" x14ac:dyDescent="0.35"/>
  <cols>
    <col min="1" max="2" width="16.7265625" bestFit="1" customWidth="1"/>
    <col min="4" max="4" width="17" bestFit="1" customWidth="1"/>
    <col min="5" max="5" width="16.7265625" bestFit="1" customWidth="1"/>
    <col min="8" max="8" width="16.7265625" bestFit="1" customWidth="1"/>
  </cols>
  <sheetData>
    <row r="1" spans="1:9" ht="23.5" x14ac:dyDescent="0.55000000000000004">
      <c r="A1" s="25" t="s">
        <v>131</v>
      </c>
    </row>
    <row r="3" spans="1:9" x14ac:dyDescent="0.35">
      <c r="B3" s="42">
        <v>2021</v>
      </c>
      <c r="C3" s="42" t="s">
        <v>126</v>
      </c>
      <c r="E3" s="42">
        <v>2022</v>
      </c>
      <c r="F3" s="42" t="s">
        <v>126</v>
      </c>
      <c r="H3" s="42" t="s">
        <v>69</v>
      </c>
      <c r="I3" s="42" t="s">
        <v>126</v>
      </c>
    </row>
    <row r="4" spans="1:9" x14ac:dyDescent="0.35">
      <c r="B4" s="42" t="s">
        <v>72</v>
      </c>
      <c r="C4" s="42">
        <v>28</v>
      </c>
      <c r="E4" s="42" t="s">
        <v>72</v>
      </c>
      <c r="F4" s="42">
        <v>28</v>
      </c>
      <c r="H4" s="42" t="s">
        <v>72</v>
      </c>
      <c r="I4" s="42">
        <v>28</v>
      </c>
    </row>
    <row r="5" spans="1:9" x14ac:dyDescent="0.35">
      <c r="B5" s="42" t="s">
        <v>73</v>
      </c>
      <c r="C5" s="43">
        <v>0.53029999999999999</v>
      </c>
      <c r="E5" s="42" t="s">
        <v>73</v>
      </c>
      <c r="F5" s="43">
        <v>0.4002</v>
      </c>
      <c r="H5" s="42" t="s">
        <v>73</v>
      </c>
      <c r="I5" s="43">
        <v>0.51170000000000004</v>
      </c>
    </row>
    <row r="6" spans="1:9" x14ac:dyDescent="0.35">
      <c r="B6" s="42" t="s">
        <v>75</v>
      </c>
      <c r="C6" s="43">
        <v>0.45760000000000001</v>
      </c>
      <c r="E6" s="42" t="s">
        <v>75</v>
      </c>
      <c r="F6" s="69">
        <v>0.5</v>
      </c>
      <c r="H6" s="42" t="s">
        <v>75</v>
      </c>
      <c r="I6" s="43">
        <v>0.44159999999999999</v>
      </c>
    </row>
    <row r="7" spans="1:9" x14ac:dyDescent="0.35">
      <c r="B7" s="42" t="s">
        <v>76</v>
      </c>
      <c r="C7" s="42">
        <f>165.07-77.54</f>
        <v>87.529999999999987</v>
      </c>
      <c r="E7" s="42" t="s">
        <v>76</v>
      </c>
      <c r="F7" s="42">
        <f>103.42-62.03</f>
        <v>41.39</v>
      </c>
      <c r="H7" s="42" t="s">
        <v>76</v>
      </c>
      <c r="I7" s="42">
        <f>133.38-65.13</f>
        <v>68.25</v>
      </c>
    </row>
    <row r="8" spans="1:9" x14ac:dyDescent="0.35">
      <c r="B8" s="42" t="s">
        <v>77</v>
      </c>
      <c r="C8" s="42">
        <v>1.82</v>
      </c>
      <c r="E8" s="70" t="s">
        <v>77</v>
      </c>
      <c r="F8" s="42">
        <v>1.75</v>
      </c>
      <c r="H8" s="42" t="s">
        <v>77</v>
      </c>
      <c r="I8" s="42">
        <v>1.72</v>
      </c>
    </row>
    <row r="12" spans="1:9" x14ac:dyDescent="0.35">
      <c r="F12">
        <v>2021</v>
      </c>
      <c r="H12">
        <v>2023</v>
      </c>
    </row>
    <row r="13" spans="1:9" x14ac:dyDescent="0.35">
      <c r="F13">
        <v>77.540000000000006</v>
      </c>
      <c r="H13">
        <v>65.13</v>
      </c>
    </row>
    <row r="14" spans="1:9" x14ac:dyDescent="0.35">
      <c r="F14">
        <f>165.07-F13</f>
        <v>87.529999999999987</v>
      </c>
      <c r="H14">
        <f>133.38-H13</f>
        <v>68.25</v>
      </c>
    </row>
    <row r="15" spans="1:9" x14ac:dyDescent="0.35">
      <c r="D15" t="s">
        <v>126</v>
      </c>
      <c r="F15">
        <f>(F14/165.07)*100</f>
        <v>53.025988974374506</v>
      </c>
      <c r="H15">
        <f>(H14/133.38)*100</f>
        <v>51.169590643274852</v>
      </c>
    </row>
    <row r="16" spans="1:9" x14ac:dyDescent="0.35">
      <c r="F16">
        <f>(75.54/165.07)*100</f>
        <v>45.76240382867875</v>
      </c>
      <c r="G16">
        <v>2022</v>
      </c>
      <c r="H16">
        <f>(58.9/133.38)*100</f>
        <v>44.159544159544161</v>
      </c>
    </row>
    <row r="17" spans="4:7" x14ac:dyDescent="0.35">
      <c r="D17" t="s">
        <v>63</v>
      </c>
      <c r="G17">
        <v>62.03</v>
      </c>
    </row>
    <row r="18" spans="4:7" x14ac:dyDescent="0.35">
      <c r="D18" t="s">
        <v>132</v>
      </c>
      <c r="G18">
        <f>103.42-G17</f>
        <v>41.39</v>
      </c>
    </row>
    <row r="19" spans="4:7" x14ac:dyDescent="0.35">
      <c r="D19" t="s">
        <v>73</v>
      </c>
      <c r="G19">
        <f>(G18/103.42)*100</f>
        <v>40.021272481144848</v>
      </c>
    </row>
    <row r="20" spans="4:7" x14ac:dyDescent="0.35">
      <c r="D20" t="s">
        <v>133</v>
      </c>
      <c r="G20">
        <f>(35.72/71.44)*100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Quant</vt:lpstr>
      <vt:lpstr>Quant Final</vt:lpstr>
      <vt:lpstr>Quant Comparable Valuation</vt:lpstr>
      <vt:lpstr>Footprint</vt:lpstr>
      <vt:lpstr>footprint final</vt:lpstr>
      <vt:lpstr>Sheet1</vt:lpstr>
      <vt:lpstr>Footprint Comparable Valuation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grotenhuis</dc:creator>
  <cp:keywords/>
  <dc:description/>
  <cp:lastModifiedBy>jack grotenhuis</cp:lastModifiedBy>
  <cp:revision/>
  <dcterms:created xsi:type="dcterms:W3CDTF">2023-03-25T13:29:15Z</dcterms:created>
  <dcterms:modified xsi:type="dcterms:W3CDTF">2023-03-27T01:03:58Z</dcterms:modified>
  <cp:category/>
  <cp:contentStatus/>
</cp:coreProperties>
</file>