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mp\Brooks\"/>
    </mc:Choice>
  </mc:AlternateContent>
  <xr:revisionPtr revIDLastSave="0" documentId="8_{76231838-0F79-4B7C-AC23-435F0E76B46D}" xr6:coauthVersionLast="47" xr6:coauthVersionMax="47" xr10:uidLastSave="{00000000-0000-0000-0000-000000000000}"/>
  <bookViews>
    <workbookView xWindow="1845" yWindow="1860" windowWidth="21600" windowHeight="11385" xr2:uid="{6769D49D-B6E0-4A77-839D-9E9976051BBA}"/>
  </bookViews>
  <sheets>
    <sheet name="DCF Quant" sheetId="1" r:id="rId1"/>
    <sheet name="DCF Foot" sheetId="2" r:id="rId2"/>
    <sheet name="Beta &amp; WACC Calculation" sheetId="8" r:id="rId3"/>
    <sheet name="Quant Impact Partners" sheetId="3" r:id="rId4"/>
    <sheet name="Footprint Asset Management" sheetId="4" r:id="rId5"/>
    <sheet name="PGI 2022 AUM" sheetId="5" r:id="rId6"/>
    <sheet name="PGI IS &amp; Summary" sheetId="6" r:id="rId7"/>
    <sheet name="ESG Scores" sheetId="7" r:id="rId8"/>
  </sheets>
  <externalReferences>
    <externalReference r:id="rId9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5" i="6" l="1"/>
  <c r="F44" i="6"/>
  <c r="F43" i="6"/>
  <c r="F42" i="6"/>
  <c r="F41" i="6"/>
  <c r="F40" i="6"/>
  <c r="F39" i="6"/>
  <c r="F38" i="6"/>
  <c r="E44" i="6"/>
  <c r="E43" i="6"/>
  <c r="E42" i="6"/>
  <c r="E41" i="6"/>
  <c r="E40" i="6"/>
  <c r="E39" i="6"/>
  <c r="E38" i="6"/>
  <c r="D44" i="6"/>
  <c r="D43" i="6"/>
  <c r="D42" i="6"/>
  <c r="D41" i="6"/>
  <c r="D40" i="6"/>
  <c r="D39" i="6"/>
  <c r="O42" i="6"/>
  <c r="O41" i="6"/>
  <c r="Q27" i="6"/>
  <c r="Q28" i="6" s="1"/>
  <c r="O38" i="6"/>
  <c r="O40" i="6"/>
  <c r="O37" i="6"/>
  <c r="O34" i="6"/>
  <c r="P34" i="6"/>
  <c r="Q30" i="6"/>
  <c r="Q29" i="6"/>
  <c r="Q26" i="6"/>
  <c r="M25" i="6"/>
  <c r="M26" i="6"/>
  <c r="M27" i="6"/>
  <c r="M28" i="6"/>
  <c r="M29" i="6"/>
  <c r="M30" i="6"/>
  <c r="M31" i="6"/>
  <c r="M24" i="6"/>
  <c r="M5" i="6"/>
  <c r="M6" i="6"/>
  <c r="M7" i="6"/>
  <c r="M11" i="6"/>
  <c r="M14" i="6"/>
  <c r="M16" i="6"/>
  <c r="M17" i="6"/>
  <c r="M19" i="6"/>
  <c r="M20" i="6"/>
  <c r="B13" i="2"/>
  <c r="B13" i="1"/>
  <c r="J23" i="8"/>
  <c r="I23" i="8"/>
  <c r="H23" i="8"/>
  <c r="G23" i="8"/>
  <c r="J22" i="8"/>
  <c r="I22" i="8"/>
  <c r="H22" i="8"/>
  <c r="G22" i="8"/>
  <c r="F24" i="1"/>
  <c r="F25" i="1"/>
  <c r="E72" i="4"/>
  <c r="D72" i="4"/>
  <c r="C72" i="4"/>
  <c r="E71" i="4"/>
  <c r="E58" i="4"/>
  <c r="D58" i="4"/>
  <c r="D71" i="4" s="1"/>
  <c r="C58" i="4"/>
  <c r="C71" i="4" s="1"/>
  <c r="E57" i="4"/>
  <c r="E70" i="4" s="1"/>
  <c r="E55" i="4"/>
  <c r="D55" i="4"/>
  <c r="D57" i="4" s="1"/>
  <c r="D70" i="4" s="1"/>
  <c r="C55" i="4"/>
  <c r="C57" i="4" s="1"/>
  <c r="C70" i="4" s="1"/>
  <c r="C51" i="4"/>
  <c r="C69" i="4" s="1"/>
  <c r="E44" i="4"/>
  <c r="E51" i="4" s="1"/>
  <c r="E69" i="4" s="1"/>
  <c r="D44" i="4"/>
  <c r="D51" i="4" s="1"/>
  <c r="D69" i="4" s="1"/>
  <c r="C44" i="4"/>
  <c r="J35" i="4"/>
  <c r="J34" i="4"/>
  <c r="J23" i="4"/>
  <c r="I23" i="4"/>
  <c r="H23" i="4"/>
  <c r="J22" i="4"/>
  <c r="I22" i="4"/>
  <c r="H22" i="4"/>
  <c r="J21" i="4"/>
  <c r="I21" i="4"/>
  <c r="H21" i="4"/>
  <c r="P5" i="4"/>
  <c r="O5" i="4"/>
  <c r="N5" i="4"/>
  <c r="E72" i="3"/>
  <c r="D72" i="3"/>
  <c r="C72" i="3"/>
  <c r="J61" i="3"/>
  <c r="I61" i="3"/>
  <c r="H61" i="3"/>
  <c r="E58" i="3"/>
  <c r="E71" i="3" s="1"/>
  <c r="D58" i="3"/>
  <c r="D71" i="3" s="1"/>
  <c r="C58" i="3"/>
  <c r="C71" i="3" s="1"/>
  <c r="E57" i="3"/>
  <c r="E70" i="3" s="1"/>
  <c r="E55" i="3"/>
  <c r="D55" i="3"/>
  <c r="D57" i="3" s="1"/>
  <c r="D70" i="3" s="1"/>
  <c r="C55" i="3"/>
  <c r="C57" i="3" s="1"/>
  <c r="C70" i="3" s="1"/>
  <c r="E44" i="3"/>
  <c r="E51" i="3" s="1"/>
  <c r="E69" i="3" s="1"/>
  <c r="D44" i="3"/>
  <c r="D51" i="3" s="1"/>
  <c r="D69" i="3" s="1"/>
  <c r="C44" i="3"/>
  <c r="C51" i="3" s="1"/>
  <c r="C69" i="3" s="1"/>
  <c r="J34" i="3"/>
  <c r="J35" i="3" s="1"/>
  <c r="J23" i="3"/>
  <c r="I23" i="3"/>
  <c r="H23" i="3"/>
  <c r="J22" i="3"/>
  <c r="I22" i="3"/>
  <c r="H22" i="3"/>
  <c r="J21" i="3"/>
  <c r="I21" i="3"/>
  <c r="H21" i="3"/>
  <c r="C31" i="2"/>
  <c r="C29" i="2"/>
  <c r="D25" i="2"/>
  <c r="C25" i="2"/>
  <c r="B25" i="2"/>
  <c r="D24" i="2"/>
  <c r="C24" i="2"/>
  <c r="B24" i="2"/>
  <c r="F23" i="2"/>
  <c r="D23" i="2"/>
  <c r="C23" i="2"/>
  <c r="D6" i="2"/>
  <c r="D8" i="2" s="1"/>
  <c r="D9" i="2" s="1"/>
  <c r="D10" i="2" s="1"/>
  <c r="C6" i="2"/>
  <c r="C8" i="2" s="1"/>
  <c r="C9" i="2" s="1"/>
  <c r="C10" i="2" s="1"/>
  <c r="B6" i="2"/>
  <c r="B8" i="2" s="1"/>
  <c r="B9" i="2" s="1"/>
  <c r="B10" i="2" s="1"/>
  <c r="I5" i="2"/>
  <c r="H5" i="2"/>
  <c r="G5" i="2"/>
  <c r="F5" i="2"/>
  <c r="E5" i="2"/>
  <c r="E4" i="2"/>
  <c r="F4" i="2" s="1"/>
  <c r="G4" i="2" s="1"/>
  <c r="H4" i="2" s="1"/>
  <c r="I4" i="2" s="1"/>
  <c r="E2" i="2"/>
  <c r="R26" i="6" s="1"/>
  <c r="R27" i="6" s="1"/>
  <c r="R28" i="6" s="1"/>
  <c r="C31" i="1"/>
  <c r="C29" i="1"/>
  <c r="D25" i="1"/>
  <c r="C25" i="1"/>
  <c r="B25" i="1"/>
  <c r="D24" i="1"/>
  <c r="C24" i="1"/>
  <c r="B24" i="1"/>
  <c r="D23" i="1"/>
  <c r="C23" i="1"/>
  <c r="D6" i="1"/>
  <c r="C6" i="1"/>
  <c r="B6" i="1"/>
  <c r="I5" i="1"/>
  <c r="H5" i="1"/>
  <c r="G5" i="1"/>
  <c r="F5" i="1"/>
  <c r="E5" i="1"/>
  <c r="E4" i="1"/>
  <c r="E2" i="1"/>
  <c r="P37" i="6" l="1"/>
  <c r="P38" i="6" s="1"/>
  <c r="P39" i="6" s="1"/>
  <c r="Q31" i="6"/>
  <c r="D29" i="1"/>
  <c r="D29" i="2"/>
  <c r="E24" i="2"/>
  <c r="C30" i="2" s="1"/>
  <c r="E3" i="2" s="1"/>
  <c r="E6" i="2" s="1"/>
  <c r="F24" i="2"/>
  <c r="F2" i="2"/>
  <c r="B29" i="2"/>
  <c r="E24" i="1"/>
  <c r="C30" i="1" s="1"/>
  <c r="B30" i="1" s="1"/>
  <c r="B31" i="1"/>
  <c r="E3" i="1"/>
  <c r="E6" i="1" s="1"/>
  <c r="F4" i="1"/>
  <c r="G4" i="1" s="1"/>
  <c r="H4" i="1" s="1"/>
  <c r="I4" i="1" s="1"/>
  <c r="B29" i="1"/>
  <c r="D31" i="1"/>
  <c r="B7" i="1"/>
  <c r="B8" i="1" s="1"/>
  <c r="B9" i="1" s="1"/>
  <c r="B10" i="1" s="1"/>
  <c r="D7" i="1"/>
  <c r="D8" i="1" s="1"/>
  <c r="D9" i="1" s="1"/>
  <c r="D10" i="1" s="1"/>
  <c r="F2" i="1"/>
  <c r="C7" i="1"/>
  <c r="C8" i="1" s="1"/>
  <c r="C9" i="1" s="1"/>
  <c r="C10" i="1" s="1"/>
  <c r="P40" i="6" l="1"/>
  <c r="P41" i="6" s="1"/>
  <c r="P42" i="6" s="1"/>
  <c r="R29" i="6"/>
  <c r="R30" i="6"/>
  <c r="R31" i="6" s="1"/>
  <c r="Q37" i="6"/>
  <c r="Q38" i="6" s="1"/>
  <c r="Q39" i="6" s="1"/>
  <c r="S26" i="6"/>
  <c r="S27" i="6" s="1"/>
  <c r="S28" i="6" s="1"/>
  <c r="D30" i="2"/>
  <c r="E7" i="2"/>
  <c r="E8" i="2" s="1"/>
  <c r="E9" i="2" s="1"/>
  <c r="E10" i="2" s="1"/>
  <c r="B30" i="2"/>
  <c r="F3" i="2"/>
  <c r="F6" i="2" s="1"/>
  <c r="G2" i="2"/>
  <c r="D30" i="1"/>
  <c r="E7" i="1"/>
  <c r="E8" i="1" s="1"/>
  <c r="E9" i="1" s="1"/>
  <c r="E10" i="1" s="1"/>
  <c r="F3" i="1"/>
  <c r="F6" i="1" s="1"/>
  <c r="G2" i="1"/>
  <c r="R37" i="6" l="1"/>
  <c r="T26" i="6"/>
  <c r="T27" i="6" s="1"/>
  <c r="T28" i="6" s="1"/>
  <c r="Q40" i="6"/>
  <c r="Q41" i="6" s="1"/>
  <c r="Q42" i="6" s="1"/>
  <c r="S30" i="6"/>
  <c r="S31" i="6" s="1"/>
  <c r="S29" i="6"/>
  <c r="B31" i="2"/>
  <c r="D31" i="2"/>
  <c r="F7" i="2"/>
  <c r="F8" i="2" s="1"/>
  <c r="F9" i="2" s="1"/>
  <c r="F10" i="2" s="1"/>
  <c r="G3" i="2"/>
  <c r="G6" i="2" s="1"/>
  <c r="H2" i="2"/>
  <c r="F7" i="1"/>
  <c r="F8" i="1" s="1"/>
  <c r="F9" i="1" s="1"/>
  <c r="F10" i="1" s="1"/>
  <c r="G3" i="1"/>
  <c r="G6" i="1" s="1"/>
  <c r="H2" i="1"/>
  <c r="S37" i="6" l="1"/>
  <c r="S38" i="6" s="1"/>
  <c r="U26" i="6"/>
  <c r="U27" i="6" s="1"/>
  <c r="U28" i="6" s="1"/>
  <c r="R40" i="6"/>
  <c r="R41" i="6" s="1"/>
  <c r="T30" i="6"/>
  <c r="T31" i="6" s="1"/>
  <c r="T29" i="6"/>
  <c r="R38" i="6"/>
  <c r="R39" i="6" s="1"/>
  <c r="G7" i="2"/>
  <c r="G8" i="2" s="1"/>
  <c r="G9" i="2" s="1"/>
  <c r="G10" i="2" s="1"/>
  <c r="H3" i="2"/>
  <c r="H6" i="2" s="1"/>
  <c r="I2" i="2"/>
  <c r="G7" i="1"/>
  <c r="G8" i="1" s="1"/>
  <c r="G9" i="1" s="1"/>
  <c r="G10" i="1" s="1"/>
  <c r="H3" i="1"/>
  <c r="H6" i="1" s="1"/>
  <c r="I2" i="1"/>
  <c r="R42" i="6" l="1"/>
  <c r="T37" i="6"/>
  <c r="T38" i="6" s="1"/>
  <c r="T39" i="6" s="1"/>
  <c r="V26" i="6"/>
  <c r="V27" i="6" s="1"/>
  <c r="V28" i="6" s="1"/>
  <c r="S40" i="6"/>
  <c r="S41" i="6" s="1"/>
  <c r="S42" i="6" s="1"/>
  <c r="U29" i="6"/>
  <c r="U30" i="6"/>
  <c r="U31" i="6" s="1"/>
  <c r="S39" i="6"/>
  <c r="H7" i="2"/>
  <c r="H8" i="2" s="1"/>
  <c r="H9" i="2" s="1"/>
  <c r="H10" i="2" s="1"/>
  <c r="I3" i="2"/>
  <c r="I6" i="2" s="1"/>
  <c r="H7" i="1"/>
  <c r="H8" i="1" s="1"/>
  <c r="H9" i="1" s="1"/>
  <c r="H10" i="1" s="1"/>
  <c r="I3" i="1"/>
  <c r="I6" i="1" s="1"/>
  <c r="V30" i="6" l="1"/>
  <c r="V31" i="6" s="1"/>
  <c r="V29" i="6"/>
  <c r="T40" i="6"/>
  <c r="T41" i="6" s="1"/>
  <c r="T42" i="6" s="1"/>
  <c r="I7" i="2"/>
  <c r="I8" i="2" s="1"/>
  <c r="I9" i="2" s="1"/>
  <c r="I10" i="2" s="1"/>
  <c r="I7" i="1"/>
  <c r="I8" i="1" s="1"/>
  <c r="I9" i="1" s="1"/>
  <c r="I10" i="1" s="1"/>
  <c r="B15" i="2" l="1"/>
  <c r="B14" i="2"/>
  <c r="B15" i="1"/>
  <c r="B14" i="1"/>
  <c r="B16" i="2" l="1"/>
  <c r="B16" i="1"/>
  <c r="B19" i="2" l="1"/>
  <c r="B19" i="1"/>
</calcChain>
</file>

<file path=xl/sharedStrings.xml><?xml version="1.0" encoding="utf-8"?>
<sst xmlns="http://schemas.openxmlformats.org/spreadsheetml/2006/main" count="1884" uniqueCount="248">
  <si>
    <t>Total Revenues</t>
  </si>
  <si>
    <t>Total Compensation &amp; Benefits</t>
  </si>
  <si>
    <t>General, Administrative, &amp; Other</t>
  </si>
  <si>
    <t>Misc. Expenses</t>
  </si>
  <si>
    <t>EBIT</t>
  </si>
  <si>
    <t>tax (13.7%)</t>
  </si>
  <si>
    <t>NI</t>
  </si>
  <si>
    <t>OCF=</t>
  </si>
  <si>
    <t>FCF=</t>
  </si>
  <si>
    <t>WACC with 13.7% tax</t>
  </si>
  <si>
    <t>NPV(2023 to 2027) =</t>
  </si>
  <si>
    <t>NPV(2028…)=</t>
  </si>
  <si>
    <t>NPV(2023…)=</t>
  </si>
  <si>
    <t>Plus: Cash</t>
  </si>
  <si>
    <t>Minus: Long term debt</t>
  </si>
  <si>
    <t>Total value</t>
  </si>
  <si>
    <t>Average or 2022</t>
  </si>
  <si>
    <t>Revenue growth %</t>
  </si>
  <si>
    <t>N/A</t>
  </si>
  <si>
    <t>SG&amp;A</t>
  </si>
  <si>
    <t>Moderate</t>
  </si>
  <si>
    <t>Pessimistic</t>
  </si>
  <si>
    <t>Expected</t>
  </si>
  <si>
    <t>Optimistic</t>
  </si>
  <si>
    <t>case</t>
  </si>
  <si>
    <t>steps</t>
  </si>
  <si>
    <t xml:space="preserve">Revenue growth rate </t>
  </si>
  <si>
    <t>Cost as % of revenue</t>
  </si>
  <si>
    <t>Sensitivity/scenario</t>
  </si>
  <si>
    <t>Best</t>
  </si>
  <si>
    <t xml:space="preserve">Worst </t>
  </si>
  <si>
    <t>WACC with 21% tax</t>
  </si>
  <si>
    <t>Beta Calculation</t>
  </si>
  <si>
    <t>Footprint vs benchmark</t>
  </si>
  <si>
    <t>Footprint</t>
  </si>
  <si>
    <t>Benchmark</t>
  </si>
  <si>
    <t>Index</t>
  </si>
  <si>
    <t>1yr</t>
  </si>
  <si>
    <t>3yr</t>
  </si>
  <si>
    <t>5yr</t>
  </si>
  <si>
    <t>10yr</t>
  </si>
  <si>
    <t>1 yr</t>
  </si>
  <si>
    <t>3 yr</t>
  </si>
  <si>
    <t>5 yr</t>
  </si>
  <si>
    <t>10 yr</t>
  </si>
  <si>
    <t>Covariance</t>
  </si>
  <si>
    <t>Benchmark variance</t>
  </si>
  <si>
    <t>Beta</t>
  </si>
  <si>
    <t>AUM</t>
  </si>
  <si>
    <t>% of port</t>
  </si>
  <si>
    <t>Footprint Growth</t>
  </si>
  <si>
    <t>Russell 1000® Growth Index</t>
  </si>
  <si>
    <t>Footprint Value</t>
  </si>
  <si>
    <t>Footprint Mid Cap</t>
  </si>
  <si>
    <t>Russell MidCap® Index</t>
  </si>
  <si>
    <t>Footprint Fixed</t>
  </si>
  <si>
    <t>Bloomberg U.S. Aggregate Bond Index</t>
  </si>
  <si>
    <t>Footprint Real Estate</t>
  </si>
  <si>
    <t>MSCI U.S. REIT Index</t>
  </si>
  <si>
    <t>Footprint Beta</t>
  </si>
  <si>
    <t>Sumproduct weights vs beta</t>
  </si>
  <si>
    <t xml:space="preserve">Quannt vs benchmark </t>
  </si>
  <si>
    <t>Quannt (benchmark + quantvsbenchmark/100)</t>
  </si>
  <si>
    <t>=COVARIANCE.S(G:J,K:N)</t>
  </si>
  <si>
    <t>=STD.s(K:N)^2</t>
  </si>
  <si>
    <t>Benchmark Variance</t>
  </si>
  <si>
    <t>QI International</t>
  </si>
  <si>
    <t>MSCI EAFE NTR Index</t>
  </si>
  <si>
    <t>QI Large Cap</t>
  </si>
  <si>
    <t>QI Mid Cap</t>
  </si>
  <si>
    <t>QI Small Cap</t>
  </si>
  <si>
    <t>Russell 2000® Index</t>
  </si>
  <si>
    <t>QI Balanced</t>
  </si>
  <si>
    <t>Principal Diversified Income Fund</t>
  </si>
  <si>
    <t>QI Bond</t>
  </si>
  <si>
    <t>QI Income</t>
  </si>
  <si>
    <t>Bloomberg Credit 1-3 Year Index</t>
  </si>
  <si>
    <t>Quant Beta</t>
  </si>
  <si>
    <t>Company</t>
  </si>
  <si>
    <t>Interest Rate on Debt</t>
  </si>
  <si>
    <t>Effective Tax Rate</t>
  </si>
  <si>
    <t>Risk Free Rate</t>
  </si>
  <si>
    <t>Spread Indication</t>
  </si>
  <si>
    <t>Market Risk Premium</t>
  </si>
  <si>
    <t>E/V</t>
  </si>
  <si>
    <t>D/V</t>
  </si>
  <si>
    <t>WACC</t>
  </si>
  <si>
    <t>Quant</t>
  </si>
  <si>
    <t>good shit</t>
  </si>
  <si>
    <t>gratzi</t>
  </si>
  <si>
    <t>looking into revenue growth bc that is why we are seeing super high valueation</t>
  </si>
  <si>
    <t>check foot syn, see if that valuation looks more right</t>
  </si>
  <si>
    <t>What if we adjust the revenue growth for each year past the 3 years inputed manually so its not a constant number?</t>
  </si>
  <si>
    <t> </t>
  </si>
  <si>
    <t>All values shown in Millions</t>
  </si>
  <si>
    <t>Statement of Operations:</t>
  </si>
  <si>
    <t>Statement of Assets &amp; Liabilities:</t>
  </si>
  <si>
    <t>Revenues</t>
  </si>
  <si>
    <t>2023 (Forecasted)</t>
  </si>
  <si>
    <t>Assets</t>
  </si>
  <si>
    <t>Management &amp; Advisory Fees</t>
  </si>
  <si>
    <t>Investments in Securities at Value</t>
  </si>
  <si>
    <t>Incentive Fees</t>
  </si>
  <si>
    <t>Cash held by Internal Funds</t>
  </si>
  <si>
    <t>Investment Income (Loss)</t>
  </si>
  <si>
    <t>Cash &amp; Cash Equivalents</t>
  </si>
  <si>
    <t>Principal Investments</t>
  </si>
  <si>
    <t>Accounts Receviable</t>
  </si>
  <si>
    <t>Total Investment Income</t>
  </si>
  <si>
    <t>Deferred Tax Assets</t>
  </si>
  <si>
    <t>Interest &amp; Dividend Revenue</t>
  </si>
  <si>
    <t>Other Receiveables</t>
  </si>
  <si>
    <t>Other</t>
  </si>
  <si>
    <t>Total Assets</t>
  </si>
  <si>
    <t>Liabilities</t>
  </si>
  <si>
    <t>Expenses</t>
  </si>
  <si>
    <t>Accrued Management Fees</t>
  </si>
  <si>
    <t>Compensation &amp; Benefits</t>
  </si>
  <si>
    <t>Loans Payable</t>
  </si>
  <si>
    <t>Compensation</t>
  </si>
  <si>
    <t>Accrued Compensation &amp; Benefits</t>
  </si>
  <si>
    <t>Incentive Fee Compensation</t>
  </si>
  <si>
    <t>Operating Lease Liabilities</t>
  </si>
  <si>
    <t>Ratio</t>
  </si>
  <si>
    <t>Other Payables and Accrued Expenses</t>
  </si>
  <si>
    <t xml:space="preserve">Quant </t>
  </si>
  <si>
    <t>Equity Multiplier</t>
  </si>
  <si>
    <t>Total Liabilities</t>
  </si>
  <si>
    <t>Asset Utilization</t>
  </si>
  <si>
    <t>Interest Expense</t>
  </si>
  <si>
    <t>Profit Margin</t>
  </si>
  <si>
    <t>Fund Expense &amp; Distribution Fees</t>
  </si>
  <si>
    <t>Net Assets</t>
  </si>
  <si>
    <t>Miscellaneous Expenses</t>
  </si>
  <si>
    <t>Total Expenses</t>
  </si>
  <si>
    <t>Income Before Taxes</t>
  </si>
  <si>
    <t>Taxes</t>
  </si>
  <si>
    <t>Net Income</t>
  </si>
  <si>
    <t>Assumptions</t>
  </si>
  <si>
    <t>Compensation Synergy</t>
  </si>
  <si>
    <t>General and Administrative Synergy</t>
  </si>
  <si>
    <t>capture of expected synergy benefits</t>
  </si>
  <si>
    <t>Shock Lapse to Management and Advisory Fees upon announcement of deal (Negative Synergy)</t>
  </si>
  <si>
    <t>Misc Expenses</t>
  </si>
  <si>
    <t>Fund Expenses &amp; Distribution Fees</t>
  </si>
  <si>
    <t xml:space="preserve">Principal Financial Group, Inc. </t>
  </si>
  <si>
    <t>Principal Global Investors - Assets Under Management Rollforward Detail by Asset Class</t>
  </si>
  <si>
    <t xml:space="preserve">(in billions) </t>
  </si>
  <si>
    <t>Three Months Ended,</t>
  </si>
  <si>
    <t>Trailing Twelve Months,</t>
  </si>
  <si>
    <t xml:space="preserve">Equity Investments </t>
  </si>
  <si>
    <t xml:space="preserve">AUM, beginning of period ~ </t>
  </si>
  <si>
    <t xml:space="preserve">  Deposits </t>
  </si>
  <si>
    <t xml:space="preserve">  Withdrawals </t>
  </si>
  <si>
    <t xml:space="preserve">     Net cash flow </t>
  </si>
  <si>
    <t xml:space="preserve">  Market performance </t>
  </si>
  <si>
    <t xml:space="preserve">  Other </t>
  </si>
  <si>
    <t xml:space="preserve">  Operations acquired (1) </t>
  </si>
  <si>
    <t xml:space="preserve">                       -  </t>
  </si>
  <si>
    <t xml:space="preserve">  Operations disposed (2) </t>
  </si>
  <si>
    <t xml:space="preserve">  Effect of exchange rates </t>
  </si>
  <si>
    <t xml:space="preserve">AUM, end of period ~ </t>
  </si>
  <si>
    <t xml:space="preserve">General account assets </t>
  </si>
  <si>
    <t xml:space="preserve">Total Equity Investments </t>
  </si>
  <si>
    <t xml:space="preserve">Fixed Income Investments </t>
  </si>
  <si>
    <t xml:space="preserve">  Other (3)</t>
  </si>
  <si>
    <t>General account assets (4)</t>
  </si>
  <si>
    <t xml:space="preserve">Total Fixed Income Investments </t>
  </si>
  <si>
    <t xml:space="preserve">Alternative Investments </t>
  </si>
  <si>
    <t xml:space="preserve">General account assets (4) </t>
  </si>
  <si>
    <t xml:space="preserve">Total Alternative Investments </t>
  </si>
  <si>
    <t xml:space="preserve">Total  </t>
  </si>
  <si>
    <t xml:space="preserve">Total Principal Global Investors AUM </t>
  </si>
  <si>
    <t>~ Excludes general account assets.</t>
  </si>
  <si>
    <t xml:space="preserve">(1) Effective 1Q22, includes the integration of Institutional Asset Advisory, which is associated with our IRT business.  </t>
  </si>
  <si>
    <t xml:space="preserve">(2) During 2021, we exited our retail investment and retirement business in India. During 2020, we closed the credit fund </t>
  </si>
  <si>
    <t xml:space="preserve">      managed by the Finisterre emerging market debt team and we made the decision to close our large cap strategy </t>
  </si>
  <si>
    <t xml:space="preserve">      managed by Columbus Circle Investors. </t>
  </si>
  <si>
    <t xml:space="preserve">(3) 2Q22 includes $3.2 billion of commercial mortgage loans and private credit assets managed by Principal Global  </t>
  </si>
  <si>
    <t xml:space="preserve">      Investors on behalf of the Reinsurance Transaction counterparty. </t>
  </si>
  <si>
    <t xml:space="preserve">(4) In 2Q22, $23.1 billion of General account assets were transferred to third parties per the Reinsurance Transaction. </t>
  </si>
  <si>
    <t xml:space="preserve">Principal Global Investors Segment </t>
  </si>
  <si>
    <t xml:space="preserve">Line Item </t>
  </si>
  <si>
    <t xml:space="preserve">Premiums and other considerations </t>
  </si>
  <si>
    <t xml:space="preserve"> $                     -  </t>
  </si>
  <si>
    <t xml:space="preserve">Fees and other revenues </t>
  </si>
  <si>
    <t xml:space="preserve">Net investment income </t>
  </si>
  <si>
    <t xml:space="preserve">Total operating revenues </t>
  </si>
  <si>
    <t xml:space="preserve">Benefits, claims and settlement expenses </t>
  </si>
  <si>
    <t xml:space="preserve">                        -  </t>
  </si>
  <si>
    <t xml:space="preserve">Dividends to policyholders </t>
  </si>
  <si>
    <t xml:space="preserve">Commission expense </t>
  </si>
  <si>
    <t xml:space="preserve">Capitalization of DAC and contract costs </t>
  </si>
  <si>
    <t>Amortization of DAC and contract costs</t>
  </si>
  <si>
    <t xml:space="preserve">Depreciation and amortization </t>
  </si>
  <si>
    <t xml:space="preserve">Interest expense on corporate debt </t>
  </si>
  <si>
    <t>Compensation and other (1)</t>
  </si>
  <si>
    <t xml:space="preserve">Total expenses </t>
  </si>
  <si>
    <t xml:space="preserve">Pre-tax operating earnings (losses)
  attributable to noncontrolling interest </t>
  </si>
  <si>
    <t xml:space="preserve">Pre-tax operating earnings (losses) </t>
  </si>
  <si>
    <t xml:space="preserve">Principal Global Investors </t>
  </si>
  <si>
    <t xml:space="preserve">Management fee revenue </t>
  </si>
  <si>
    <t xml:space="preserve">Other revenue </t>
  </si>
  <si>
    <t xml:space="preserve">Operating revenues </t>
  </si>
  <si>
    <t xml:space="preserve">Operating revenues less pass-through expenses * </t>
  </si>
  <si>
    <t xml:space="preserve">Year over year operating revenues less pass-through
  expenses growth </t>
  </si>
  <si>
    <t xml:space="preserve">Pre-tax operating earnings, adjusted for noncontrolling
  interest </t>
  </si>
  <si>
    <t xml:space="preserve">Pre-tax return on operating revenues less pass-through
  expenses </t>
  </si>
  <si>
    <t>c</t>
  </si>
  <si>
    <t>Footprint Asset Management</t>
  </si>
  <si>
    <t>2023 Footprint Addition</t>
  </si>
  <si>
    <t>Total Revenue</t>
  </si>
  <si>
    <t>-</t>
  </si>
  <si>
    <t>Pre-Tax Operating Earnings (losses)</t>
  </si>
  <si>
    <t>YOY Pre-Tax Operating Earnings Growth</t>
  </si>
  <si>
    <t>Operating Margin</t>
  </si>
  <si>
    <t>PFG</t>
  </si>
  <si>
    <t>Upper target</t>
  </si>
  <si>
    <t>Environmental</t>
  </si>
  <si>
    <t>Leading</t>
  </si>
  <si>
    <t>Sustainable Finance</t>
  </si>
  <si>
    <t>Above median</t>
  </si>
  <si>
    <t>Below median</t>
  </si>
  <si>
    <t>Social</t>
  </si>
  <si>
    <t>Lagging</t>
  </si>
  <si>
    <t>Ethics &amp; Compliance</t>
  </si>
  <si>
    <t>ESG</t>
  </si>
  <si>
    <t>Data Security &amp; Customer Privacy</t>
  </si>
  <si>
    <t>Labor &amp; Employment Practices</t>
  </si>
  <si>
    <t>Marketing &amp; Labeling</t>
  </si>
  <si>
    <t xml:space="preserve">  Board Composition</t>
  </si>
  <si>
    <t>Product &amp; Quality management</t>
  </si>
  <si>
    <t xml:space="preserve">  Executive Compensation</t>
  </si>
  <si>
    <t>Governance</t>
  </si>
  <si>
    <t xml:space="preserve">  Shareholder Rights</t>
  </si>
  <si>
    <t xml:space="preserve">  Audit</t>
  </si>
  <si>
    <t>Director Roles</t>
  </si>
  <si>
    <t>Diversity</t>
  </si>
  <si>
    <t>Independence</t>
  </si>
  <si>
    <t>Refreshment</t>
  </si>
  <si>
    <t>Incentive Structure</t>
  </si>
  <si>
    <t>Pay Governance</t>
  </si>
  <si>
    <t>Pay for Performance</t>
  </si>
  <si>
    <t>Director Voting</t>
  </si>
  <si>
    <t>Shareholder Policies</t>
  </si>
  <si>
    <t>Audit Committee</t>
  </si>
  <si>
    <t>External Auditor</t>
  </si>
  <si>
    <t>Audit Outcome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</si>
</sst>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3" formatCode="_(* #,##0.00_);_(* \(#,##0.00\);_(* &quot;-&quot;??_);_(@_)"/>
    <numFmt numFmtId="164" formatCode="&quot;$&quot;#,##0.000_);[Red]\(&quot;$&quot;#,##0.000\)"/>
    <numFmt numFmtId="165" formatCode="#,##0.00000000000"/>
    <numFmt numFmtId="166" formatCode="#,##0.00000"/>
    <numFmt numFmtId="167" formatCode="0.000%"/>
    <numFmt numFmtId="168" formatCode="#,##0.000"/>
    <numFmt numFmtId="169" formatCode="0.0000"/>
    <numFmt numFmtId="170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32A3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11"/>
      <color theme="1"/>
      <name val="Calibri Light"/>
      <family val="2"/>
      <scheme val="major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BBE0E1"/>
        <bgColor indexed="64"/>
      </patternFill>
    </fill>
    <fill>
      <patternFill patternType="solid">
        <fgColor rgb="FFE2F2F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4EBF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57171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70AD47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rgb="FFC6E0B4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E0E4E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rgb="FFE0E4E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58">
    <xf numFmtId="0" fontId="0" fillId="0" borderId="0" xfId="0"/>
    <xf numFmtId="0" fontId="0" fillId="3" borderId="1" xfId="0" applyFill="1" applyBorder="1"/>
    <xf numFmtId="0" fontId="3" fillId="3" borderId="0" xfId="0" applyFont="1" applyFill="1"/>
    <xf numFmtId="0" fontId="3" fillId="3" borderId="2" xfId="0" applyFont="1" applyFill="1" applyBorder="1"/>
    <xf numFmtId="0" fontId="3" fillId="3" borderId="1" xfId="0" applyFont="1" applyFill="1" applyBorder="1"/>
    <xf numFmtId="0" fontId="0" fillId="4" borderId="0" xfId="0" applyFill="1"/>
    <xf numFmtId="10" fontId="0" fillId="0" borderId="0" xfId="0" applyNumberFormat="1"/>
    <xf numFmtId="3" fontId="0" fillId="0" borderId="0" xfId="0" applyNumberFormat="1"/>
    <xf numFmtId="3" fontId="4" fillId="0" borderId="0" xfId="0" applyNumberFormat="1" applyFont="1" applyAlignment="1">
      <alignment horizontal="right" vertical="center"/>
    </xf>
    <xf numFmtId="0" fontId="0" fillId="0" borderId="1" xfId="0" applyBorder="1"/>
    <xf numFmtId="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8" fontId="4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0" fontId="0" fillId="0" borderId="7" xfId="0" applyBorder="1"/>
    <xf numFmtId="8" fontId="4" fillId="0" borderId="7" xfId="0" applyNumberFormat="1" applyFont="1" applyBorder="1" applyAlignment="1">
      <alignment horizontal="left" vertical="center"/>
    </xf>
    <xf numFmtId="8" fontId="4" fillId="6" borderId="0" xfId="0" applyNumberFormat="1" applyFont="1" applyFill="1" applyAlignment="1">
      <alignment horizontal="left" vertical="center"/>
    </xf>
    <xf numFmtId="3" fontId="0" fillId="0" borderId="7" xfId="0" applyNumberFormat="1" applyBorder="1"/>
    <xf numFmtId="0" fontId="3" fillId="0" borderId="0" xfId="0" applyFont="1"/>
    <xf numFmtId="8" fontId="6" fillId="0" borderId="0" xfId="0" applyNumberFormat="1" applyFont="1" applyAlignment="1">
      <alignment horizontal="left" vertical="center"/>
    </xf>
    <xf numFmtId="4" fontId="5" fillId="0" borderId="0" xfId="0" applyNumberFormat="1" applyFont="1"/>
    <xf numFmtId="0" fontId="3" fillId="3" borderId="8" xfId="0" applyFont="1" applyFill="1" applyBorder="1"/>
    <xf numFmtId="0" fontId="3" fillId="7" borderId="9" xfId="0" applyFont="1" applyFill="1" applyBorder="1"/>
    <xf numFmtId="0" fontId="0" fillId="0" borderId="10" xfId="0" applyBorder="1"/>
    <xf numFmtId="3" fontId="4" fillId="0" borderId="11" xfId="0" applyNumberFormat="1" applyFont="1" applyBorder="1" applyAlignment="1">
      <alignment horizontal="center" vertical="center" wrapText="1"/>
    </xf>
    <xf numFmtId="0" fontId="0" fillId="0" borderId="12" xfId="0" applyBorder="1"/>
    <xf numFmtId="0" fontId="0" fillId="0" borderId="14" xfId="0" applyBorder="1"/>
    <xf numFmtId="165" fontId="4" fillId="0" borderId="16" xfId="0" applyNumberFormat="1" applyFont="1" applyBorder="1" applyAlignment="1">
      <alignment horizontal="center" vertical="center" wrapText="1"/>
    </xf>
    <xf numFmtId="0" fontId="0" fillId="0" borderId="17" xfId="0" applyBorder="1"/>
    <xf numFmtId="166" fontId="0" fillId="0" borderId="17" xfId="0" applyNumberFormat="1" applyBorder="1"/>
    <xf numFmtId="3" fontId="4" fillId="0" borderId="0" xfId="0" applyNumberFormat="1" applyFont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3" xfId="0" applyBorder="1"/>
    <xf numFmtId="3" fontId="4" fillId="0" borderId="22" xfId="0" applyNumberFormat="1" applyFont="1" applyBorder="1" applyAlignment="1">
      <alignment horizontal="center" vertical="center" wrapText="1"/>
    </xf>
    <xf numFmtId="0" fontId="0" fillId="0" borderId="23" xfId="0" applyBorder="1"/>
    <xf numFmtId="167" fontId="0" fillId="7" borderId="0" xfId="2" applyNumberFormat="1" applyFont="1" applyFill="1" applyBorder="1"/>
    <xf numFmtId="3" fontId="4" fillId="0" borderId="24" xfId="0" applyNumberFormat="1" applyFont="1" applyBorder="1" applyAlignment="1">
      <alignment horizontal="center" vertical="center" wrapText="1"/>
    </xf>
    <xf numFmtId="167" fontId="0" fillId="0" borderId="25" xfId="0" applyNumberFormat="1" applyBorder="1"/>
    <xf numFmtId="10" fontId="0" fillId="7" borderId="0" xfId="2" applyNumberFormat="1" applyFont="1" applyFill="1" applyBorder="1"/>
    <xf numFmtId="3" fontId="4" fillId="0" borderId="26" xfId="0" applyNumberFormat="1" applyFont="1" applyBorder="1" applyAlignment="1">
      <alignment horizontal="center" vertical="center" wrapText="1"/>
    </xf>
    <xf numFmtId="10" fontId="0" fillId="0" borderId="27" xfId="0" applyNumberFormat="1" applyBorder="1"/>
    <xf numFmtId="0" fontId="0" fillId="0" borderId="28" xfId="0" applyBorder="1"/>
    <xf numFmtId="3" fontId="4" fillId="0" borderId="29" xfId="0" applyNumberFormat="1" applyFont="1" applyBorder="1" applyAlignment="1">
      <alignment horizontal="center" vertical="center" wrapText="1"/>
    </xf>
    <xf numFmtId="3" fontId="0" fillId="0" borderId="30" xfId="0" applyNumberFormat="1" applyBorder="1"/>
    <xf numFmtId="166" fontId="4" fillId="0" borderId="0" xfId="0" applyNumberFormat="1" applyFont="1" applyAlignment="1">
      <alignment horizontal="left" vertical="center"/>
    </xf>
    <xf numFmtId="3" fontId="0" fillId="0" borderId="17" xfId="0" applyNumberFormat="1" applyBorder="1"/>
    <xf numFmtId="168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5" xfId="0" applyBorder="1"/>
    <xf numFmtId="8" fontId="0" fillId="0" borderId="0" xfId="0" applyNumberFormat="1"/>
    <xf numFmtId="1" fontId="0" fillId="0" borderId="0" xfId="0" applyNumberFormat="1"/>
    <xf numFmtId="167" fontId="0" fillId="0" borderId="7" xfId="2" applyNumberFormat="1" applyFont="1" applyBorder="1"/>
    <xf numFmtId="167" fontId="0" fillId="7" borderId="7" xfId="2" applyNumberFormat="1" applyFont="1" applyFill="1" applyBorder="1"/>
    <xf numFmtId="10" fontId="4" fillId="0" borderId="0" xfId="2" applyNumberFormat="1" applyFont="1" applyAlignment="1">
      <alignment horizontal="center" vertical="center" wrapText="1"/>
    </xf>
    <xf numFmtId="9" fontId="0" fillId="0" borderId="0" xfId="2" applyFont="1"/>
    <xf numFmtId="10" fontId="0" fillId="0" borderId="0" xfId="2" applyNumberFormat="1" applyFont="1"/>
    <xf numFmtId="167" fontId="0" fillId="7" borderId="13" xfId="2" applyNumberFormat="1" applyFont="1" applyFill="1" applyBorder="1"/>
    <xf numFmtId="167" fontId="0" fillId="7" borderId="15" xfId="2" applyNumberFormat="1" applyFont="1" applyFill="1" applyBorder="1"/>
    <xf numFmtId="167" fontId="4" fillId="8" borderId="33" xfId="2" applyNumberFormat="1" applyFont="1" applyFill="1" applyBorder="1" applyAlignment="1">
      <alignment horizontal="right" vertical="center"/>
    </xf>
    <xf numFmtId="0" fontId="0" fillId="0" borderId="3" xfId="0" applyBorder="1"/>
    <xf numFmtId="3" fontId="5" fillId="0" borderId="7" xfId="0" applyNumberFormat="1" applyFont="1" applyBorder="1"/>
    <xf numFmtId="0" fontId="7" fillId="9" borderId="0" xfId="0" applyFont="1" applyFill="1"/>
    <xf numFmtId="0" fontId="8" fillId="11" borderId="33" xfId="0" applyFont="1" applyFill="1" applyBorder="1"/>
    <xf numFmtId="0" fontId="9" fillId="11" borderId="33" xfId="0" applyFont="1" applyFill="1" applyBorder="1"/>
    <xf numFmtId="0" fontId="7" fillId="11" borderId="18" xfId="0" applyFont="1" applyFill="1" applyBorder="1"/>
    <xf numFmtId="0" fontId="7" fillId="0" borderId="15" xfId="0" applyFont="1" applyBorder="1"/>
    <xf numFmtId="0" fontId="7" fillId="0" borderId="0" xfId="0" applyFont="1"/>
    <xf numFmtId="0" fontId="7" fillId="0" borderId="32" xfId="0" applyFont="1" applyBorder="1"/>
    <xf numFmtId="0" fontId="10" fillId="0" borderId="0" xfId="0" applyFont="1"/>
    <xf numFmtId="0" fontId="10" fillId="0" borderId="32" xfId="0" applyFont="1" applyBorder="1"/>
    <xf numFmtId="0" fontId="9" fillId="5" borderId="38" xfId="0" applyFont="1" applyFill="1" applyBorder="1"/>
    <xf numFmtId="0" fontId="7" fillId="5" borderId="5" xfId="0" applyFont="1" applyFill="1" applyBorder="1"/>
    <xf numFmtId="0" fontId="10" fillId="5" borderId="5" xfId="0" applyFont="1" applyFill="1" applyBorder="1"/>
    <xf numFmtId="0" fontId="10" fillId="5" borderId="6" xfId="0" applyFont="1" applyFill="1" applyBorder="1"/>
    <xf numFmtId="0" fontId="9" fillId="5" borderId="39" xfId="0" applyFont="1" applyFill="1" applyBorder="1"/>
    <xf numFmtId="0" fontId="7" fillId="5" borderId="40" xfId="0" applyFont="1" applyFill="1" applyBorder="1"/>
    <xf numFmtId="0" fontId="9" fillId="11" borderId="9" xfId="0" applyFont="1" applyFill="1" applyBorder="1"/>
    <xf numFmtId="0" fontId="7" fillId="5" borderId="6" xfId="0" applyFont="1" applyFill="1" applyBorder="1"/>
    <xf numFmtId="0" fontId="9" fillId="12" borderId="9" xfId="0" applyFont="1" applyFill="1" applyBorder="1"/>
    <xf numFmtId="0" fontId="7" fillId="12" borderId="36" xfId="0" applyFont="1" applyFill="1" applyBorder="1"/>
    <xf numFmtId="0" fontId="7" fillId="12" borderId="9" xfId="0" applyFont="1" applyFill="1" applyBorder="1"/>
    <xf numFmtId="0" fontId="7" fillId="12" borderId="18" xfId="0" applyFont="1" applyFill="1" applyBorder="1"/>
    <xf numFmtId="0" fontId="11" fillId="9" borderId="0" xfId="0" applyFont="1" applyFill="1"/>
    <xf numFmtId="0" fontId="9" fillId="13" borderId="13" xfId="0" applyFont="1" applyFill="1" applyBorder="1"/>
    <xf numFmtId="0" fontId="7" fillId="0" borderId="13" xfId="0" applyFont="1" applyBorder="1"/>
    <xf numFmtId="10" fontId="7" fillId="0" borderId="22" xfId="0" applyNumberFormat="1" applyFont="1" applyBorder="1"/>
    <xf numFmtId="10" fontId="7" fillId="0" borderId="32" xfId="0" applyNumberFormat="1" applyFont="1" applyBorder="1"/>
    <xf numFmtId="9" fontId="1" fillId="0" borderId="0" xfId="2" applyFont="1" applyAlignment="1">
      <alignment horizontal="right"/>
    </xf>
    <xf numFmtId="0" fontId="1" fillId="0" borderId="0" xfId="0" applyFont="1" applyAlignment="1">
      <alignment horizontal="left"/>
    </xf>
    <xf numFmtId="0" fontId="7" fillId="0" borderId="33" xfId="0" applyFont="1" applyBorder="1"/>
    <xf numFmtId="0" fontId="7" fillId="0" borderId="31" xfId="0" applyFont="1" applyBorder="1"/>
    <xf numFmtId="0" fontId="7" fillId="14" borderId="0" xfId="0" applyFont="1" applyFill="1"/>
    <xf numFmtId="0" fontId="7" fillId="12" borderId="8" xfId="0" applyFont="1" applyFill="1" applyBorder="1"/>
    <xf numFmtId="9" fontId="12" fillId="0" borderId="0" xfId="2" applyFont="1" applyAlignment="1">
      <alignment vertical="top"/>
    </xf>
    <xf numFmtId="0" fontId="13" fillId="9" borderId="0" xfId="0" applyFont="1" applyFill="1"/>
    <xf numFmtId="0" fontId="14" fillId="9" borderId="0" xfId="0" applyFont="1" applyFill="1"/>
    <xf numFmtId="0" fontId="15" fillId="11" borderId="9" xfId="0" applyFont="1" applyFill="1" applyBorder="1"/>
    <xf numFmtId="15" fontId="13" fillId="11" borderId="7" xfId="0" applyNumberFormat="1" applyFont="1" applyFill="1" applyBorder="1"/>
    <xf numFmtId="15" fontId="13" fillId="11" borderId="33" xfId="0" applyNumberFormat="1" applyFont="1" applyFill="1" applyBorder="1"/>
    <xf numFmtId="15" fontId="13" fillId="11" borderId="31" xfId="0" applyNumberFormat="1" applyFont="1" applyFill="1" applyBorder="1"/>
    <xf numFmtId="0" fontId="16" fillId="0" borderId="15" xfId="0" applyFont="1" applyBorder="1"/>
    <xf numFmtId="8" fontId="13" fillId="0" borderId="0" xfId="0" applyNumberFormat="1" applyFont="1"/>
    <xf numFmtId="8" fontId="13" fillId="0" borderId="15" xfId="0" applyNumberFormat="1" applyFont="1" applyBorder="1"/>
    <xf numFmtId="8" fontId="13" fillId="0" borderId="32" xfId="0" applyNumberFormat="1" applyFont="1" applyBorder="1"/>
    <xf numFmtId="0" fontId="13" fillId="0" borderId="15" xfId="0" applyFont="1" applyBorder="1"/>
    <xf numFmtId="0" fontId="13" fillId="0" borderId="0" xfId="0" applyFont="1"/>
    <xf numFmtId="0" fontId="13" fillId="0" borderId="32" xfId="0" applyFont="1" applyBorder="1"/>
    <xf numFmtId="0" fontId="15" fillId="15" borderId="39" xfId="0" applyFont="1" applyFill="1" applyBorder="1"/>
    <xf numFmtId="8" fontId="13" fillId="15" borderId="5" xfId="0" applyNumberFormat="1" applyFont="1" applyFill="1" applyBorder="1"/>
    <xf numFmtId="8" fontId="13" fillId="15" borderId="39" xfId="0" applyNumberFormat="1" applyFont="1" applyFill="1" applyBorder="1"/>
    <xf numFmtId="8" fontId="13" fillId="15" borderId="40" xfId="0" applyNumberFormat="1" applyFont="1" applyFill="1" applyBorder="1"/>
    <xf numFmtId="0" fontId="15" fillId="15" borderId="43" xfId="0" applyFont="1" applyFill="1" applyBorder="1"/>
    <xf numFmtId="8" fontId="13" fillId="15" borderId="44" xfId="0" applyNumberFormat="1" applyFont="1" applyFill="1" applyBorder="1"/>
    <xf numFmtId="8" fontId="13" fillId="15" borderId="43" xfId="0" applyNumberFormat="1" applyFont="1" applyFill="1" applyBorder="1"/>
    <xf numFmtId="8" fontId="13" fillId="15" borderId="45" xfId="0" applyNumberFormat="1" applyFont="1" applyFill="1" applyBorder="1"/>
    <xf numFmtId="0" fontId="13" fillId="0" borderId="10" xfId="0" applyFont="1" applyBorder="1"/>
    <xf numFmtId="0" fontId="13" fillId="0" borderId="12" xfId="0" applyFont="1" applyBorder="1"/>
    <xf numFmtId="0" fontId="13" fillId="0" borderId="22" xfId="0" applyFont="1" applyBorder="1"/>
    <xf numFmtId="0" fontId="13" fillId="0" borderId="14" xfId="0" applyFont="1" applyBorder="1"/>
    <xf numFmtId="0" fontId="13" fillId="0" borderId="17" xfId="0" applyFont="1" applyBorder="1"/>
    <xf numFmtId="0" fontId="13" fillId="0" borderId="31" xfId="0" applyFont="1" applyBorder="1"/>
    <xf numFmtId="0" fontId="15" fillId="9" borderId="0" xfId="0" applyFont="1" applyFill="1"/>
    <xf numFmtId="0" fontId="15" fillId="11" borderId="8" xfId="0" applyFont="1" applyFill="1" applyBorder="1"/>
    <xf numFmtId="0" fontId="13" fillId="11" borderId="15" xfId="0" applyFont="1" applyFill="1" applyBorder="1" applyAlignment="1">
      <alignment wrapText="1"/>
    </xf>
    <xf numFmtId="0" fontId="13" fillId="0" borderId="15" xfId="0" applyFont="1" applyBorder="1" applyAlignment="1">
      <alignment wrapText="1"/>
    </xf>
    <xf numFmtId="4" fontId="13" fillId="0" borderId="15" xfId="0" applyNumberFormat="1" applyFont="1" applyBorder="1"/>
    <xf numFmtId="4" fontId="13" fillId="0" borderId="32" xfId="0" applyNumberFormat="1" applyFont="1" applyBorder="1"/>
    <xf numFmtId="0" fontId="15" fillId="15" borderId="39" xfId="0" applyFont="1" applyFill="1" applyBorder="1" applyAlignment="1">
      <alignment wrapText="1"/>
    </xf>
    <xf numFmtId="0" fontId="13" fillId="15" borderId="5" xfId="0" applyFont="1" applyFill="1" applyBorder="1"/>
    <xf numFmtId="4" fontId="13" fillId="15" borderId="39" xfId="0" applyNumberFormat="1" applyFont="1" applyFill="1" applyBorder="1"/>
    <xf numFmtId="4" fontId="13" fillId="15" borderId="40" xfId="0" applyNumberFormat="1" applyFont="1" applyFill="1" applyBorder="1"/>
    <xf numFmtId="0" fontId="13" fillId="15" borderId="39" xfId="0" applyFont="1" applyFill="1" applyBorder="1"/>
    <xf numFmtId="0" fontId="13" fillId="15" borderId="40" xfId="0" applyFont="1" applyFill="1" applyBorder="1"/>
    <xf numFmtId="0" fontId="15" fillId="15" borderId="33" xfId="0" applyFont="1" applyFill="1" applyBorder="1" applyAlignment="1">
      <alignment wrapText="1"/>
    </xf>
    <xf numFmtId="8" fontId="13" fillId="15" borderId="7" xfId="0" applyNumberFormat="1" applyFont="1" applyFill="1" applyBorder="1"/>
    <xf numFmtId="8" fontId="13" fillId="15" borderId="33" xfId="0" applyNumberFormat="1" applyFont="1" applyFill="1" applyBorder="1"/>
    <xf numFmtId="8" fontId="13" fillId="15" borderId="31" xfId="0" applyNumberFormat="1" applyFont="1" applyFill="1" applyBorder="1"/>
    <xf numFmtId="0" fontId="15" fillId="11" borderId="9" xfId="0" applyFont="1" applyFill="1" applyBorder="1" applyAlignment="1">
      <alignment wrapText="1"/>
    </xf>
    <xf numFmtId="10" fontId="13" fillId="0" borderId="32" xfId="0" applyNumberFormat="1" applyFont="1" applyBorder="1"/>
    <xf numFmtId="10" fontId="13" fillId="0" borderId="0" xfId="0" applyNumberFormat="1" applyFont="1"/>
    <xf numFmtId="10" fontId="13" fillId="0" borderId="15" xfId="0" applyNumberFormat="1" applyFont="1" applyBorder="1"/>
    <xf numFmtId="0" fontId="15" fillId="15" borderId="38" xfId="0" applyFont="1" applyFill="1" applyBorder="1" applyAlignment="1">
      <alignment wrapText="1"/>
    </xf>
    <xf numFmtId="10" fontId="13" fillId="15" borderId="40" xfId="0" applyNumberFormat="1" applyFont="1" applyFill="1" applyBorder="1"/>
    <xf numFmtId="10" fontId="13" fillId="15" borderId="5" xfId="0" applyNumberFormat="1" applyFont="1" applyFill="1" applyBorder="1"/>
    <xf numFmtId="10" fontId="13" fillId="15" borderId="39" xfId="0" applyNumberFormat="1" applyFont="1" applyFill="1" applyBorder="1"/>
    <xf numFmtId="10" fontId="13" fillId="15" borderId="6" xfId="0" applyNumberFormat="1" applyFont="1" applyFill="1" applyBorder="1"/>
    <xf numFmtId="0" fontId="9" fillId="11" borderId="46" xfId="0" applyFont="1" applyFill="1" applyBorder="1"/>
    <xf numFmtId="0" fontId="15" fillId="11" borderId="47" xfId="0" applyFont="1" applyFill="1" applyBorder="1"/>
    <xf numFmtId="0" fontId="15" fillId="11" borderId="18" xfId="0" applyFont="1" applyFill="1" applyBorder="1"/>
    <xf numFmtId="0" fontId="15" fillId="16" borderId="48" xfId="0" applyFont="1" applyFill="1" applyBorder="1"/>
    <xf numFmtId="0" fontId="15" fillId="15" borderId="35" xfId="0" applyFont="1" applyFill="1" applyBorder="1"/>
    <xf numFmtId="0" fontId="15" fillId="17" borderId="35" xfId="0" applyFont="1" applyFill="1" applyBorder="1"/>
    <xf numFmtId="0" fontId="13" fillId="17" borderId="49" xfId="0" applyFont="1" applyFill="1" applyBorder="1"/>
    <xf numFmtId="0" fontId="13" fillId="16" borderId="48" xfId="0" applyFont="1" applyFill="1" applyBorder="1"/>
    <xf numFmtId="0" fontId="13" fillId="15" borderId="35" xfId="0" applyFont="1" applyFill="1" applyBorder="1"/>
    <xf numFmtId="0" fontId="13" fillId="17" borderId="35" xfId="0" applyFont="1" applyFill="1" applyBorder="1"/>
    <xf numFmtId="0" fontId="13" fillId="15" borderId="48" xfId="0" applyFont="1" applyFill="1" applyBorder="1"/>
    <xf numFmtId="0" fontId="15" fillId="15" borderId="49" xfId="0" applyFont="1" applyFill="1" applyBorder="1"/>
    <xf numFmtId="0" fontId="15" fillId="15" borderId="6" xfId="0" applyFont="1" applyFill="1" applyBorder="1"/>
    <xf numFmtId="0" fontId="15" fillId="17" borderId="6" xfId="0" applyFont="1" applyFill="1" applyBorder="1"/>
    <xf numFmtId="0" fontId="13" fillId="18" borderId="48" xfId="0" applyFont="1" applyFill="1" applyBorder="1"/>
    <xf numFmtId="0" fontId="13" fillId="0" borderId="48" xfId="0" applyFont="1" applyBorder="1"/>
    <xf numFmtId="0" fontId="13" fillId="17" borderId="48" xfId="0" applyFont="1" applyFill="1" applyBorder="1"/>
    <xf numFmtId="0" fontId="13" fillId="18" borderId="35" xfId="0" applyFont="1" applyFill="1" applyBorder="1"/>
    <xf numFmtId="0" fontId="13" fillId="18" borderId="34" xfId="0" applyFont="1" applyFill="1" applyBorder="1"/>
    <xf numFmtId="0" fontId="15" fillId="16" borderId="6" xfId="0" applyFont="1" applyFill="1" applyBorder="1"/>
    <xf numFmtId="0" fontId="15" fillId="17" borderId="48" xfId="0" applyFont="1" applyFill="1" applyBorder="1"/>
    <xf numFmtId="0" fontId="13" fillId="16" borderId="35" xfId="0" applyFont="1" applyFill="1" applyBorder="1"/>
    <xf numFmtId="0" fontId="15" fillId="18" borderId="48" xfId="0" applyFont="1" applyFill="1" applyBorder="1"/>
    <xf numFmtId="0" fontId="15" fillId="18" borderId="35" xfId="0" applyFont="1" applyFill="1" applyBorder="1"/>
    <xf numFmtId="43" fontId="4" fillId="4" borderId="3" xfId="1" applyFont="1" applyFill="1" applyBorder="1" applyAlignment="1">
      <alignment horizontal="right" vertical="center" wrapText="1"/>
    </xf>
    <xf numFmtId="43" fontId="4" fillId="4" borderId="4" xfId="1" applyFont="1" applyFill="1" applyBorder="1" applyAlignment="1">
      <alignment horizontal="right" vertical="center" wrapText="1"/>
    </xf>
    <xf numFmtId="43" fontId="0" fillId="0" borderId="0" xfId="1" applyFont="1" applyAlignment="1">
      <alignment horizontal="right"/>
    </xf>
    <xf numFmtId="43" fontId="4" fillId="4" borderId="0" xfId="1" applyFont="1" applyFill="1" applyAlignment="1">
      <alignment horizontal="right" vertical="center" wrapText="1"/>
    </xf>
    <xf numFmtId="43" fontId="4" fillId="4" borderId="0" xfId="1" applyFont="1" applyFill="1" applyAlignment="1">
      <alignment horizontal="right" vertical="center"/>
    </xf>
    <xf numFmtId="43" fontId="0" fillId="4" borderId="0" xfId="1" applyFont="1" applyFill="1" applyAlignment="1">
      <alignment horizontal="right"/>
    </xf>
    <xf numFmtId="43" fontId="0" fillId="4" borderId="2" xfId="1" applyFont="1" applyFill="1" applyBorder="1" applyAlignment="1">
      <alignment horizontal="right"/>
    </xf>
    <xf numFmtId="43" fontId="0" fillId="0" borderId="0" xfId="1" applyFont="1"/>
    <xf numFmtId="43" fontId="4" fillId="0" borderId="0" xfId="1" applyFont="1" applyAlignment="1">
      <alignment horizontal="right" vertical="center"/>
    </xf>
    <xf numFmtId="43" fontId="4" fillId="0" borderId="2" xfId="1" applyFont="1" applyBorder="1" applyAlignment="1">
      <alignment horizontal="right" vertical="center"/>
    </xf>
    <xf numFmtId="43" fontId="4" fillId="0" borderId="3" xfId="1" applyFont="1" applyBorder="1" applyAlignment="1">
      <alignment horizontal="right" vertical="center"/>
    </xf>
    <xf numFmtId="43" fontId="4" fillId="0" borderId="4" xfId="1" applyFont="1" applyBorder="1" applyAlignment="1">
      <alignment horizontal="right" vertical="center"/>
    </xf>
    <xf numFmtId="43" fontId="4" fillId="0" borderId="5" xfId="1" applyFont="1" applyBorder="1" applyAlignment="1">
      <alignment horizontal="right" vertical="center"/>
    </xf>
    <xf numFmtId="43" fontId="4" fillId="0" borderId="6" xfId="1" applyFont="1" applyBorder="1" applyAlignment="1">
      <alignment horizontal="right" vertical="center"/>
    </xf>
    <xf numFmtId="43" fontId="4" fillId="4" borderId="2" xfId="1" applyFont="1" applyFill="1" applyBorder="1" applyAlignment="1">
      <alignment horizontal="right" vertical="center" wrapText="1"/>
    </xf>
    <xf numFmtId="43" fontId="4" fillId="4" borderId="0" xfId="1" applyFont="1" applyFill="1" applyBorder="1" applyAlignment="1">
      <alignment horizontal="right" vertical="center" wrapText="1"/>
    </xf>
    <xf numFmtId="167" fontId="0" fillId="0" borderId="0" xfId="2" applyNumberFormat="1" applyFont="1" applyAlignment="1">
      <alignment horizontal="center"/>
    </xf>
    <xf numFmtId="167" fontId="4" fillId="0" borderId="16" xfId="2" applyNumberFormat="1" applyFont="1" applyBorder="1" applyAlignment="1">
      <alignment horizontal="center" vertical="center" wrapText="1"/>
    </xf>
    <xf numFmtId="0" fontId="9" fillId="0" borderId="0" xfId="0" applyFont="1"/>
    <xf numFmtId="0" fontId="13" fillId="0" borderId="0" xfId="0" applyFont="1" applyAlignment="1">
      <alignment wrapText="1"/>
    </xf>
    <xf numFmtId="10" fontId="7" fillId="0" borderId="0" xfId="0" applyNumberFormat="1" applyFont="1"/>
    <xf numFmtId="8" fontId="7" fillId="0" borderId="0" xfId="0" applyNumberFormat="1" applyFont="1"/>
    <xf numFmtId="0" fontId="17" fillId="19" borderId="0" xfId="0" applyFont="1" applyFill="1"/>
    <xf numFmtId="0" fontId="7" fillId="0" borderId="0" xfId="0" quotePrefix="1" applyFont="1"/>
    <xf numFmtId="0" fontId="15" fillId="0" borderId="0" xfId="0" applyFont="1"/>
    <xf numFmtId="0" fontId="4" fillId="2" borderId="50" xfId="3" applyFont="1" applyBorder="1"/>
    <xf numFmtId="43" fontId="0" fillId="0" borderId="0" xfId="0" applyNumberFormat="1"/>
    <xf numFmtId="0" fontId="0" fillId="0" borderId="2" xfId="0" applyBorder="1"/>
    <xf numFmtId="0" fontId="0" fillId="0" borderId="51" xfId="0" applyBorder="1"/>
    <xf numFmtId="169" fontId="0" fillId="0" borderId="34" xfId="0" applyNumberFormat="1" applyBorder="1"/>
    <xf numFmtId="169" fontId="0" fillId="0" borderId="32" xfId="0" applyNumberFormat="1" applyBorder="1"/>
    <xf numFmtId="169" fontId="0" fillId="0" borderId="53" xfId="0" applyNumberFormat="1" applyBorder="1"/>
    <xf numFmtId="169" fontId="0" fillId="0" borderId="31" xfId="0" applyNumberFormat="1" applyBorder="1"/>
    <xf numFmtId="0" fontId="0" fillId="0" borderId="47" xfId="0" applyBorder="1"/>
    <xf numFmtId="0" fontId="0" fillId="0" borderId="52" xfId="0" applyBorder="1"/>
    <xf numFmtId="0" fontId="0" fillId="0" borderId="18" xfId="0" applyBorder="1"/>
    <xf numFmtId="0" fontId="19" fillId="0" borderId="8" xfId="0" applyFont="1" applyBorder="1" applyAlignment="1">
      <alignment vertical="center" textRotation="90"/>
    </xf>
    <xf numFmtId="4" fontId="13" fillId="0" borderId="14" xfId="0" applyNumberFormat="1" applyFont="1" applyBorder="1"/>
    <xf numFmtId="4" fontId="13" fillId="0" borderId="0" xfId="0" applyNumberFormat="1" applyFont="1"/>
    <xf numFmtId="0" fontId="15" fillId="11" borderId="55" xfId="0" applyFont="1" applyFill="1" applyBorder="1"/>
    <xf numFmtId="10" fontId="0" fillId="0" borderId="26" xfId="0" applyNumberFormat="1" applyBorder="1"/>
    <xf numFmtId="0" fontId="0" fillId="0" borderId="56" xfId="0" applyBorder="1"/>
    <xf numFmtId="0" fontId="0" fillId="0" borderId="57" xfId="0" applyBorder="1"/>
    <xf numFmtId="0" fontId="6" fillId="2" borderId="59" xfId="3" applyFont="1" applyBorder="1"/>
    <xf numFmtId="170" fontId="0" fillId="0" borderId="24" xfId="0" applyNumberFormat="1" applyBorder="1"/>
    <xf numFmtId="170" fontId="0" fillId="0" borderId="26" xfId="0" applyNumberFormat="1" applyBorder="1"/>
    <xf numFmtId="170" fontId="0" fillId="0" borderId="29" xfId="0" applyNumberFormat="1" applyBorder="1"/>
    <xf numFmtId="8" fontId="13" fillId="0" borderId="56" xfId="0" applyNumberFormat="1" applyFont="1" applyBorder="1"/>
    <xf numFmtId="8" fontId="0" fillId="0" borderId="57" xfId="0" applyNumberFormat="1" applyBorder="1"/>
    <xf numFmtId="10" fontId="0" fillId="0" borderId="57" xfId="0" applyNumberFormat="1" applyBorder="1"/>
    <xf numFmtId="8" fontId="0" fillId="0" borderId="58" xfId="0" applyNumberFormat="1" applyBorder="1"/>
    <xf numFmtId="0" fontId="6" fillId="2" borderId="60" xfId="3" applyFont="1" applyBorder="1"/>
    <xf numFmtId="170" fontId="0" fillId="0" borderId="56" xfId="0" applyNumberFormat="1" applyBorder="1"/>
    <xf numFmtId="170" fontId="0" fillId="0" borderId="57" xfId="0" applyNumberFormat="1" applyBorder="1"/>
    <xf numFmtId="170" fontId="0" fillId="0" borderId="58" xfId="0" applyNumberFormat="1" applyBorder="1"/>
    <xf numFmtId="0" fontId="3" fillId="20" borderId="57" xfId="0" applyFont="1" applyFill="1" applyBorder="1"/>
    <xf numFmtId="0" fontId="3" fillId="20" borderId="58" xfId="0" applyFont="1" applyFill="1" applyBorder="1"/>
    <xf numFmtId="0" fontId="0" fillId="0" borderId="0" xfId="0" applyAlignment="1">
      <alignment horizontal="center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/>
    <xf numFmtId="0" fontId="7" fillId="10" borderId="8" xfId="0" applyFont="1" applyFill="1" applyBorder="1"/>
    <xf numFmtId="0" fontId="7" fillId="10" borderId="36" xfId="0" applyFont="1" applyFill="1" applyBorder="1"/>
    <xf numFmtId="0" fontId="7" fillId="10" borderId="37" xfId="0" applyFont="1" applyFill="1" applyBorder="1"/>
    <xf numFmtId="0" fontId="0" fillId="0" borderId="54" xfId="0" applyBorder="1" applyAlignment="1">
      <alignment horizontal="right" vertical="center" textRotation="90"/>
    </xf>
    <xf numFmtId="0" fontId="0" fillId="0" borderId="23" xfId="0" applyBorder="1" applyAlignment="1">
      <alignment horizontal="right" vertical="center" textRotation="90"/>
    </xf>
    <xf numFmtId="0" fontId="0" fillId="0" borderId="28" xfId="0" applyBorder="1" applyAlignment="1">
      <alignment horizontal="right" vertical="center" textRotation="90"/>
    </xf>
    <xf numFmtId="0" fontId="18" fillId="0" borderId="23" xfId="0" applyFont="1" applyBorder="1" applyAlignment="1">
      <alignment horizontal="right" vertical="center" textRotation="90"/>
    </xf>
    <xf numFmtId="0" fontId="18" fillId="0" borderId="28" xfId="0" applyFont="1" applyBorder="1" applyAlignment="1">
      <alignment horizontal="right" vertical="center" textRotation="90"/>
    </xf>
    <xf numFmtId="0" fontId="14" fillId="11" borderId="10" xfId="0" applyFont="1" applyFill="1" applyBorder="1"/>
    <xf numFmtId="0" fontId="14" fillId="11" borderId="12" xfId="0" applyFont="1" applyFill="1" applyBorder="1"/>
    <xf numFmtId="0" fontId="14" fillId="11" borderId="41" xfId="0" applyFont="1" applyFill="1" applyBorder="1"/>
    <xf numFmtId="0" fontId="13" fillId="11" borderId="17" xfId="0" applyFont="1" applyFill="1" applyBorder="1"/>
    <xf numFmtId="0" fontId="13" fillId="11" borderId="7" xfId="0" applyFont="1" applyFill="1" applyBorder="1"/>
    <xf numFmtId="0" fontId="13" fillId="11" borderId="42" xfId="0" applyFont="1" applyFill="1" applyBorder="1"/>
    <xf numFmtId="0" fontId="13" fillId="10" borderId="8" xfId="0" applyFont="1" applyFill="1" applyBorder="1"/>
    <xf numFmtId="0" fontId="13" fillId="10" borderId="36" xfId="0" applyFont="1" applyFill="1" applyBorder="1"/>
    <xf numFmtId="0" fontId="13" fillId="10" borderId="37" xfId="0" applyFont="1" applyFill="1" applyBorder="1"/>
    <xf numFmtId="0" fontId="13" fillId="11" borderId="8" xfId="0" applyFont="1" applyFill="1" applyBorder="1"/>
    <xf numFmtId="0" fontId="13" fillId="11" borderId="36" xfId="0" applyFont="1" applyFill="1" applyBorder="1"/>
    <xf numFmtId="0" fontId="13" fillId="11" borderId="37" xfId="0" applyFont="1" applyFill="1" applyBorder="1"/>
    <xf numFmtId="0" fontId="7" fillId="10" borderId="10" xfId="0" applyFont="1" applyFill="1" applyBorder="1"/>
    <xf numFmtId="0" fontId="7" fillId="10" borderId="12" xfId="0" applyFont="1" applyFill="1" applyBorder="1"/>
    <xf numFmtId="0" fontId="7" fillId="10" borderId="41" xfId="0" applyFont="1" applyFill="1" applyBorder="1"/>
  </cellXfs>
  <cellStyles count="4">
    <cellStyle name="Comma" xfId="1" builtinId="3"/>
    <cellStyle name="Neutral" xfId="3" builtinId="2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3E8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'Footprint Asset Management'!$G$21</c:f>
              <c:strCache>
                <c:ptCount val="1"/>
                <c:pt idx="0">
                  <c:v>Equity Multiplier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'Footprint Asset Management'!$H$21:$J$21</c:f>
              <c:numCache>
                <c:formatCode>General</c:formatCode>
                <c:ptCount val="3"/>
                <c:pt idx="0">
                  <c:v>2.2222072642093642</c:v>
                </c:pt>
                <c:pt idx="1">
                  <c:v>2.325612772655723</c:v>
                </c:pt>
                <c:pt idx="2">
                  <c:v>2.3809353802213491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2-4DD9-A937-40826D30C5DB}"/>
            </c:ext>
          </c:extLst>
        </c:ser>
        <c:ser>
          <c:idx val="1"/>
          <c:order val="1"/>
          <c:tx>
            <c:strRef>
              <c:f>'Footprint Asset Management'!$G$22</c:f>
              <c:strCache>
                <c:ptCount val="1"/>
                <c:pt idx="0">
                  <c:v>Asset Utilization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'Footprint Asset Management'!$H$22:$J$22</c:f>
              <c:numCache>
                <c:formatCode>General</c:formatCode>
                <c:ptCount val="3"/>
                <c:pt idx="0">
                  <c:v>0.19999999999999998</c:v>
                </c:pt>
                <c:pt idx="1">
                  <c:v>0.19999999999999998</c:v>
                </c:pt>
                <c:pt idx="2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A2-4DD9-A937-40826D30C5DB}"/>
            </c:ext>
          </c:extLst>
        </c:ser>
        <c:ser>
          <c:idx val="2"/>
          <c:order val="2"/>
          <c:tx>
            <c:strRef>
              <c:f>'Footprint Asset Management'!$G$23</c:f>
              <c:strCache>
                <c:ptCount val="1"/>
                <c:pt idx="0">
                  <c:v>Profit Margin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'Footprint Asset Management'!$H$23:$J$23</c:f>
              <c:numCache>
                <c:formatCode>General</c:formatCode>
                <c:ptCount val="3"/>
                <c:pt idx="0">
                  <c:v>0.72890288968316475</c:v>
                </c:pt>
                <c:pt idx="1">
                  <c:v>0.66205762908528332</c:v>
                </c:pt>
                <c:pt idx="2">
                  <c:v>0.7192982456140351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A2-4DD9-A937-40826D30C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5286976"/>
        <c:axId val="1417862800"/>
      </c:barChart>
      <c:catAx>
        <c:axId val="142528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7862800"/>
        <c:crosses val="autoZero"/>
        <c:auto val="1"/>
        <c:lblAlgn val="ctr"/>
        <c:lblOffset val="100"/>
        <c:noMultiLvlLbl val="0"/>
      </c:catAx>
      <c:valAx>
        <c:axId val="141786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5286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'PFG', 'Quant', 'Footprint' by 'ESG'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'[1]ESG Scores'!$N$6</c:f>
              <c:strCache>
                <c:ptCount val="1"/>
                <c:pt idx="0">
                  <c:v>PFG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'[1]ESG Scores'!$M$7:$M$12</c:f>
              <c:strCache>
                <c:ptCount val="6"/>
                <c:pt idx="0">
                  <c:v>Environmental</c:v>
                </c:pt>
                <c:pt idx="1">
                  <c:v>Social</c:v>
                </c:pt>
                <c:pt idx="2">
                  <c:v>  Board Composition</c:v>
                </c:pt>
                <c:pt idx="3">
                  <c:v>  Executive Compensation</c:v>
                </c:pt>
                <c:pt idx="4">
                  <c:v>  Shareholder Rights</c:v>
                </c:pt>
                <c:pt idx="5">
                  <c:v>  Audit</c:v>
                </c:pt>
              </c:strCache>
            </c:strRef>
          </c:cat>
          <c:val>
            <c:numRef>
              <c:f>'[1]ESG Scores'!$N$7:$N$12</c:f>
              <c:numCache>
                <c:formatCode>General</c:formatCode>
                <c:ptCount val="6"/>
                <c:pt idx="0">
                  <c:v>0.2</c:v>
                </c:pt>
                <c:pt idx="1">
                  <c:v>2.2400000000000002</c:v>
                </c:pt>
                <c:pt idx="2">
                  <c:v>8.3000000000000007</c:v>
                </c:pt>
                <c:pt idx="3">
                  <c:v>8.33</c:v>
                </c:pt>
                <c:pt idx="4">
                  <c:v>4.29</c:v>
                </c:pt>
                <c:pt idx="5">
                  <c:v>8.32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B7-4177-BE89-F6F18BF1B14E}"/>
            </c:ext>
          </c:extLst>
        </c:ser>
        <c:ser>
          <c:idx val="1"/>
          <c:order val="1"/>
          <c:tx>
            <c:strRef>
              <c:f>'[1]ESG Scores'!$O$6</c:f>
              <c:strCache>
                <c:ptCount val="1"/>
                <c:pt idx="0">
                  <c:v>Quant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'[1]ESG Scores'!$M$7:$M$12</c:f>
              <c:strCache>
                <c:ptCount val="6"/>
                <c:pt idx="0">
                  <c:v>Environmental</c:v>
                </c:pt>
                <c:pt idx="1">
                  <c:v>Social</c:v>
                </c:pt>
                <c:pt idx="2">
                  <c:v>  Board Composition</c:v>
                </c:pt>
                <c:pt idx="3">
                  <c:v>  Executive Compensation</c:v>
                </c:pt>
                <c:pt idx="4">
                  <c:v>  Shareholder Rights</c:v>
                </c:pt>
                <c:pt idx="5">
                  <c:v>  Audit</c:v>
                </c:pt>
              </c:strCache>
            </c:strRef>
          </c:cat>
          <c:val>
            <c:numRef>
              <c:f>'[1]ESG Scores'!$O$7:$O$12</c:f>
              <c:numCache>
                <c:formatCode>General</c:formatCode>
                <c:ptCount val="6"/>
                <c:pt idx="0">
                  <c:v>0.78</c:v>
                </c:pt>
                <c:pt idx="1">
                  <c:v>2.5299999999999998</c:v>
                </c:pt>
                <c:pt idx="2">
                  <c:v>6.09</c:v>
                </c:pt>
                <c:pt idx="3">
                  <c:v>5.1100000000000003</c:v>
                </c:pt>
                <c:pt idx="4">
                  <c:v>6.3</c:v>
                </c:pt>
                <c:pt idx="5">
                  <c:v>8.7100000000000009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B7-4177-BE89-F6F18BF1B14E}"/>
            </c:ext>
          </c:extLst>
        </c:ser>
        <c:ser>
          <c:idx val="2"/>
          <c:order val="2"/>
          <c:tx>
            <c:strRef>
              <c:f>'[1]ESG Scores'!$P$6</c:f>
              <c:strCache>
                <c:ptCount val="1"/>
                <c:pt idx="0">
                  <c:v>Footprint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'[1]ESG Scores'!$M$7:$M$12</c:f>
              <c:strCache>
                <c:ptCount val="6"/>
                <c:pt idx="0">
                  <c:v>Environmental</c:v>
                </c:pt>
                <c:pt idx="1">
                  <c:v>Social</c:v>
                </c:pt>
                <c:pt idx="2">
                  <c:v>  Board Composition</c:v>
                </c:pt>
                <c:pt idx="3">
                  <c:v>  Executive Compensation</c:v>
                </c:pt>
                <c:pt idx="4">
                  <c:v>  Shareholder Rights</c:v>
                </c:pt>
                <c:pt idx="5">
                  <c:v>  Audit</c:v>
                </c:pt>
              </c:strCache>
            </c:strRef>
          </c:cat>
          <c:val>
            <c:numRef>
              <c:f>'[1]ESG Scores'!$P$7:$P$12</c:f>
              <c:numCache>
                <c:formatCode>General</c:formatCode>
                <c:ptCount val="6"/>
                <c:pt idx="0">
                  <c:v>3.56</c:v>
                </c:pt>
                <c:pt idx="1">
                  <c:v>4.41</c:v>
                </c:pt>
                <c:pt idx="2">
                  <c:v>5.52</c:v>
                </c:pt>
                <c:pt idx="3">
                  <c:v>3.54</c:v>
                </c:pt>
                <c:pt idx="4">
                  <c:v>6.07</c:v>
                </c:pt>
                <c:pt idx="5">
                  <c:v>4.78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B7-4177-BE89-F6F18BF1B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overlap val="-30"/>
        <c:axId val="1057448984"/>
        <c:axId val="694127800"/>
      </c:barChart>
      <c:catAx>
        <c:axId val="105744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ESG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127800"/>
        <c:crosses val="autoZero"/>
        <c:auto val="1"/>
        <c:lblAlgn val="ctr"/>
        <c:lblOffset val="100"/>
        <c:noMultiLvlLbl val="0"/>
      </c:catAx>
      <c:valAx>
        <c:axId val="694127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44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120559</xdr:colOff>
      <xdr:row>12</xdr:row>
      <xdr:rowOff>156081</xdr:rowOff>
    </xdr:from>
    <xdr:to>
      <xdr:col>18</xdr:col>
      <xdr:colOff>486834</xdr:colOff>
      <xdr:row>27</xdr:row>
      <xdr:rowOff>92397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8DDFE33-9616-81AC-CCA6-C5055E6278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361950</xdr:colOff>
      <xdr:row>22</xdr:row>
      <xdr:rowOff>57150</xdr:rowOff>
    </xdr:from>
    <xdr:to>
      <xdr:col>19</xdr:col>
      <xdr:colOff>57150</xdr:colOff>
      <xdr:row>37</xdr:row>
      <xdr:rowOff>76200</xdr:rowOff>
    </xdr:to>
    <xdr:graphicFrame macro="">
      <xdr:nvGraphicFramePr>
        <xdr:cNvPr id="3" name="Chart 1" descr="Chart type: Clustered Column. 'PFG', 'Quant', 'Footprint' by 'ESG'&#10;&#10;Description automatically generated">
          <a:extLst>
            <a:ext uri="{FF2B5EF4-FFF2-40B4-BE49-F238E27FC236}">
              <a16:creationId xmlns:a16="http://schemas.microsoft.com/office/drawing/2014/main" id="{D5F50CEB-43E6-4719-9422-17C5D2C8BD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rakeedu-my.sharepoint.com/personal/augustine_quintero_drake_edu/Documents/Brooks%20Case%20Competition.xlsx" TargetMode="External"/><Relationship Id="rId1" Type="http://schemas.openxmlformats.org/officeDocument/2006/relationships/externalLinkPath" Target="https://drakeedu-my.sharepoint.com/personal/augustine_quintero_drake_edu/Documents/Brooks%20Case%20Competi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Quant Impact Partners"/>
      <sheetName val="Footprint Asset Management"/>
      <sheetName val="PGI 2022 AUM"/>
      <sheetName val="PGI IS &amp; Summary"/>
      <sheetName val="ESG Scores"/>
    </sheetNames>
    <sheetDataSet>
      <sheetData sheetId="0"/>
      <sheetData sheetId="1"/>
      <sheetData sheetId="2"/>
      <sheetData sheetId="3"/>
      <sheetData sheetId="4">
        <row r="6">
          <cell r="N6" t="str">
            <v>PFG</v>
          </cell>
          <cell r="O6" t="str">
            <v>Quant</v>
          </cell>
          <cell r="P6" t="str">
            <v>Footprint</v>
          </cell>
        </row>
        <row r="7">
          <cell r="M7" t="str">
            <v>Environmental</v>
          </cell>
          <cell r="N7">
            <v>0.2</v>
          </cell>
          <cell r="O7">
            <v>0.78</v>
          </cell>
          <cell r="P7">
            <v>3.56</v>
          </cell>
        </row>
        <row r="8">
          <cell r="M8" t="str">
            <v>Social</v>
          </cell>
          <cell r="N8">
            <v>2.2400000000000002</v>
          </cell>
          <cell r="O8">
            <v>2.5299999999999998</v>
          </cell>
          <cell r="P8">
            <v>4.41</v>
          </cell>
        </row>
        <row r="9">
          <cell r="M9" t="str">
            <v xml:space="preserve">  Board Composition</v>
          </cell>
          <cell r="N9">
            <v>8.3000000000000007</v>
          </cell>
          <cell r="O9">
            <v>6.09</v>
          </cell>
          <cell r="P9">
            <v>5.52</v>
          </cell>
        </row>
        <row r="10">
          <cell r="M10" t="str">
            <v xml:space="preserve">  Executive Compensation</v>
          </cell>
          <cell r="N10">
            <v>8.33</v>
          </cell>
          <cell r="O10">
            <v>5.1100000000000003</v>
          </cell>
          <cell r="P10">
            <v>3.54</v>
          </cell>
        </row>
        <row r="11">
          <cell r="M11" t="str">
            <v xml:space="preserve">  Shareholder Rights</v>
          </cell>
          <cell r="N11">
            <v>4.29</v>
          </cell>
          <cell r="O11">
            <v>6.3</v>
          </cell>
          <cell r="P11">
            <v>6.07</v>
          </cell>
        </row>
        <row r="12">
          <cell r="M12" t="str">
            <v xml:space="preserve">  Audit</v>
          </cell>
          <cell r="N12">
            <v>8.32</v>
          </cell>
          <cell r="O12">
            <v>8.7100000000000009</v>
          </cell>
          <cell r="P12">
            <v>4.78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49DB7-C308-4494-B36C-ABBB6EEEBB9C}">
  <dimension ref="A1:L55"/>
  <sheetViews>
    <sheetView tabSelected="1" zoomScale="118" zoomScaleNormal="118" workbookViewId="0"/>
  </sheetViews>
  <sheetFormatPr defaultRowHeight="15" x14ac:dyDescent="0.25"/>
  <cols>
    <col min="1" max="1" width="32.85546875" bestFit="1" customWidth="1"/>
    <col min="2" max="2" width="24.140625" bestFit="1" customWidth="1"/>
    <col min="3" max="3" width="21.42578125" customWidth="1"/>
    <col min="4" max="4" width="19.28515625" customWidth="1"/>
    <col min="5" max="5" width="20.7109375" bestFit="1" customWidth="1"/>
    <col min="6" max="6" width="17.85546875" bestFit="1" customWidth="1"/>
    <col min="7" max="7" width="17.42578125" bestFit="1" customWidth="1"/>
    <col min="8" max="8" width="17" bestFit="1" customWidth="1"/>
    <col min="9" max="9" width="17.42578125" bestFit="1" customWidth="1"/>
  </cols>
  <sheetData>
    <row r="1" spans="1:12" x14ac:dyDescent="0.25">
      <c r="A1" s="1"/>
      <c r="B1" s="2">
        <v>2021</v>
      </c>
      <c r="C1" s="2">
        <v>2022</v>
      </c>
      <c r="D1" s="3">
        <v>2023</v>
      </c>
      <c r="E1" s="4">
        <v>2024</v>
      </c>
      <c r="F1" s="4">
        <v>2025</v>
      </c>
      <c r="G1" s="4">
        <v>2026</v>
      </c>
      <c r="H1" s="4">
        <v>2027</v>
      </c>
      <c r="I1" s="4">
        <v>2028</v>
      </c>
    </row>
    <row r="2" spans="1:12" x14ac:dyDescent="0.25">
      <c r="A2" s="5" t="s">
        <v>0</v>
      </c>
      <c r="B2" s="173">
        <v>112097500</v>
      </c>
      <c r="C2" s="173">
        <v>68077999.999999985</v>
      </c>
      <c r="D2" s="174">
        <v>101432000</v>
      </c>
      <c r="E2" s="175">
        <f>D2*(1+IF($E$27=$A$34,$D$29,)+IF($E$27=$A$35,$C$29,)+IF($E$27=$A$36,$B$29,)+IF($E$27=$A$33,$F29))</f>
        <v>104474960</v>
      </c>
      <c r="F2" s="175">
        <f>E2*(1+IF($E$27=$A$34,$D$29,)+IF($E$27=$A$35,$C$29,)+IF($E$27=$A$36,$B$29,)+IF($E$27=$A$33,$F29))</f>
        <v>107609208.8</v>
      </c>
      <c r="G2" s="175">
        <f>F2*(1+IF($E$27=$A$34,$D$29,)+IF($E$27=$A$35,$C$29,)+IF($E$27=$A$36,$B$29,)+IF($E$27=$A$33,$F29))</f>
        <v>110837485.064</v>
      </c>
      <c r="H2" s="175">
        <f>G2*(1+IF($E$27=$A$34,$D$29,)+IF($E$27=$A$35,$C$29,)+IF($E$27=$A$36,$B$29,)+IF($E$27=$A$33,$F29))</f>
        <v>114162609.61591999</v>
      </c>
      <c r="I2" s="175">
        <f>H2*(1+IF($E$27=$A$34,$D$29,)+IF($E$27=$A$35,$C$29,)+IF($E$27=$A$36,$B$29,)+IF($E$27=$A$33,$F29))</f>
        <v>117587487.90439759</v>
      </c>
      <c r="L2" s="6"/>
    </row>
    <row r="3" spans="1:12" x14ac:dyDescent="0.25">
      <c r="A3" s="5" t="s">
        <v>1</v>
      </c>
      <c r="B3" s="188">
        <v>40748250</v>
      </c>
      <c r="C3" s="188">
        <v>22732750</v>
      </c>
      <c r="D3" s="187">
        <v>39548000</v>
      </c>
      <c r="E3" s="175">
        <f>E2*(IF($E$27=$A$34,$D$30,)+IF($E$27=$A$35,$C$30,)+IF($E$27=$A$36,$B$30,)+IF($E$27=$A$33,$F30))</f>
        <v>37866113.904922664</v>
      </c>
      <c r="F3" s="175">
        <f>F2*(IF($E$27=$A$34,$D$30,)+IF($E$27=$A$35,$C$30,)+IF($E$27=$A$36,$B$30,)+IF($E$27=$A$33,$F30))</f>
        <v>39002097.322070345</v>
      </c>
      <c r="G3" s="175">
        <f>G2*(IF($E$27=$A$34,$D$30,)+IF($E$27=$A$35,$C$30,)+IF($E$27=$A$36,$B$30,)+IF($E$27=$A$33,$F30))</f>
        <v>40172160.241732456</v>
      </c>
      <c r="H3" s="175">
        <f>H2*(IF($E$27=$A$34,$D$30,)+IF($E$27=$A$35,$C$30,)+IF($E$27=$A$36,$B$30,)+IF($E$27=$A$33,$F30))</f>
        <v>41377325.048984431</v>
      </c>
      <c r="I3" s="175">
        <f>I2*(IF($E$27=$A$34,$D$30,)+IF($E$27=$A$35,$C$30,)+IF($E$27=$A$36,$B$30,)+IF($E$27=$A$33,$F30))</f>
        <v>42618644.800453961</v>
      </c>
    </row>
    <row r="4" spans="1:12" x14ac:dyDescent="0.25">
      <c r="A4" s="5" t="s">
        <v>2</v>
      </c>
      <c r="B4" s="176">
        <v>9455000</v>
      </c>
      <c r="C4" s="176">
        <v>7564000</v>
      </c>
      <c r="D4" s="187">
        <v>7943750</v>
      </c>
      <c r="E4" s="175">
        <f>D4*(1+(IF($E$27=$A$34,$D$31,)+IF($E$27=$A$35,$C$31,)+IF($E$27=$A$36,$B$31,)+IF($E$27=$A$33,$F31)))</f>
        <v>8244420.9374999991</v>
      </c>
      <c r="F4" s="175">
        <f>E4*(1+(IF($E$27=$A$34,$D$31,)+IF($E$27=$A$35,$C$31,)+IF($E$27=$A$36,$B$31,)+IF($E$27=$A$33,$F31)))</f>
        <v>8556472.2699843738</v>
      </c>
      <c r="G4" s="175">
        <f>F4*(1+(IF($E$27=$A$34,$D$31,)+IF($E$27=$A$35,$C$31,)+IF($E$27=$A$36,$B$31,)+IF($E$27=$A$33,$F31)))</f>
        <v>8880334.7454032823</v>
      </c>
      <c r="H4" s="175">
        <f>G4*(1+(IF($E$27=$A$34,$D$31,)+IF($E$27=$A$35,$C$31,)+IF($E$27=$A$36,$B$31,)+IF($E$27=$A$33,$F31)))</f>
        <v>9216455.4155167956</v>
      </c>
      <c r="I4" s="175">
        <f>H4*(1+(IF($E$27=$A$34,$D$31,)+IF($E$27=$A$35,$C$31,)+IF($E$27=$A$36,$B$31,)+IF($E$27=$A$33,$F31)))</f>
        <v>9565298.2529941052</v>
      </c>
    </row>
    <row r="5" spans="1:12" x14ac:dyDescent="0.25">
      <c r="A5" s="5" t="s">
        <v>3</v>
      </c>
      <c r="B5" s="177">
        <v>410000.00000000012</v>
      </c>
      <c r="C5" s="178">
        <v>10180000</v>
      </c>
      <c r="D5" s="179">
        <v>-4990000</v>
      </c>
      <c r="E5" s="180">
        <f>AVERAGE($B$5:$D$5)</f>
        <v>1866666.6666666667</v>
      </c>
      <c r="F5" s="180">
        <f>AVERAGE($B$5:$D$5)</f>
        <v>1866666.6666666667</v>
      </c>
      <c r="G5" s="180">
        <f>AVERAGE($B$5:$D$5)</f>
        <v>1866666.6666666667</v>
      </c>
      <c r="H5" s="180">
        <f>AVERAGE($B$5:$D$5)</f>
        <v>1866666.6666666667</v>
      </c>
      <c r="I5" s="180">
        <f>AVERAGE($B$5:$D$5)</f>
        <v>1866666.6666666667</v>
      </c>
    </row>
    <row r="6" spans="1:12" x14ac:dyDescent="0.25">
      <c r="A6" t="s">
        <v>4</v>
      </c>
      <c r="B6" s="181">
        <f>B2-SUM(B3:B5)</f>
        <v>61484250</v>
      </c>
      <c r="C6" s="181">
        <f>C2-SUM(C3:C5)</f>
        <v>27601249.999999985</v>
      </c>
      <c r="D6" s="182">
        <f>D2-SUM(D3:D5)</f>
        <v>58930250</v>
      </c>
      <c r="E6" s="181">
        <f>E2-E3-E4-E5</f>
        <v>56497758.490910672</v>
      </c>
      <c r="F6" s="181">
        <f>F2-F3-F4-F5</f>
        <v>58183972.541278616</v>
      </c>
      <c r="G6" s="181">
        <f>G2-G3-G4-G5</f>
        <v>59918323.410197586</v>
      </c>
      <c r="H6" s="181">
        <f>H2-H3-H4-H5</f>
        <v>61702162.484752111</v>
      </c>
      <c r="I6" s="181">
        <f>I2-I3-I4-I5</f>
        <v>63536878.184282862</v>
      </c>
    </row>
    <row r="7" spans="1:12" x14ac:dyDescent="0.25">
      <c r="A7" t="s">
        <v>5</v>
      </c>
      <c r="B7" s="181">
        <f>B6*0.137</f>
        <v>8423342.25</v>
      </c>
      <c r="C7" s="181">
        <f>C6*0.137</f>
        <v>3781371.2499999981</v>
      </c>
      <c r="D7" s="182">
        <f>D6*0.137</f>
        <v>8073444.2500000009</v>
      </c>
      <c r="E7" s="181">
        <f>0.137*E6</f>
        <v>7740192.913254763</v>
      </c>
      <c r="F7" s="181">
        <f t="shared" ref="F7:I7" si="0">0.137*F6</f>
        <v>7971204.2381551713</v>
      </c>
      <c r="G7" s="181">
        <f t="shared" si="0"/>
        <v>8208810.3071970697</v>
      </c>
      <c r="H7" s="181">
        <f t="shared" si="0"/>
        <v>8453196.260411039</v>
      </c>
      <c r="I7" s="181">
        <f t="shared" si="0"/>
        <v>8704552.3112467527</v>
      </c>
    </row>
    <row r="8" spans="1:12" x14ac:dyDescent="0.25">
      <c r="A8" s="9" t="s">
        <v>6</v>
      </c>
      <c r="B8" s="181">
        <f>B6-B7</f>
        <v>53060907.75</v>
      </c>
      <c r="C8" s="181">
        <f t="shared" ref="C8:I8" si="1">C6-C7</f>
        <v>23819878.749999985</v>
      </c>
      <c r="D8" s="182">
        <f t="shared" si="1"/>
        <v>50856805.75</v>
      </c>
      <c r="E8" s="181">
        <f t="shared" si="1"/>
        <v>48757565.577655911</v>
      </c>
      <c r="F8" s="181">
        <f t="shared" si="1"/>
        <v>50212768.303123444</v>
      </c>
      <c r="G8" s="181">
        <f t="shared" si="1"/>
        <v>51709513.103000514</v>
      </c>
      <c r="H8" s="181">
        <f t="shared" si="1"/>
        <v>53248966.224341072</v>
      </c>
      <c r="I8" s="181">
        <f t="shared" si="1"/>
        <v>54832325.873036109</v>
      </c>
      <c r="J8" s="8"/>
    </row>
    <row r="9" spans="1:12" x14ac:dyDescent="0.25">
      <c r="A9" t="s">
        <v>7</v>
      </c>
      <c r="B9" s="183">
        <f t="shared" ref="B9:I9" si="2">B8</f>
        <v>53060907.75</v>
      </c>
      <c r="C9" s="183">
        <f t="shared" si="2"/>
        <v>23819878.749999985</v>
      </c>
      <c r="D9" s="184">
        <f t="shared" si="2"/>
        <v>50856805.75</v>
      </c>
      <c r="E9" s="183">
        <f t="shared" si="2"/>
        <v>48757565.577655911</v>
      </c>
      <c r="F9" s="183">
        <f t="shared" si="2"/>
        <v>50212768.303123444</v>
      </c>
      <c r="G9" s="183">
        <f t="shared" si="2"/>
        <v>51709513.103000514</v>
      </c>
      <c r="H9" s="183">
        <f t="shared" si="2"/>
        <v>53248966.224341072</v>
      </c>
      <c r="I9" s="183">
        <f t="shared" si="2"/>
        <v>54832325.873036109</v>
      </c>
    </row>
    <row r="10" spans="1:12" x14ac:dyDescent="0.25">
      <c r="A10" s="51" t="s">
        <v>8</v>
      </c>
      <c r="B10" s="185">
        <f t="shared" ref="B10:I10" si="3">SUM(B9:B9)</f>
        <v>53060907.75</v>
      </c>
      <c r="C10" s="185">
        <f t="shared" si="3"/>
        <v>23819878.749999985</v>
      </c>
      <c r="D10" s="186">
        <f t="shared" si="3"/>
        <v>50856805.75</v>
      </c>
      <c r="E10" s="185">
        <f t="shared" si="3"/>
        <v>48757565.577655911</v>
      </c>
      <c r="F10" s="185">
        <f t="shared" si="3"/>
        <v>50212768.303123444</v>
      </c>
      <c r="G10" s="185">
        <f t="shared" si="3"/>
        <v>51709513.103000514</v>
      </c>
      <c r="H10" s="185">
        <f t="shared" si="3"/>
        <v>53248966.224341072</v>
      </c>
      <c r="I10" s="185">
        <f t="shared" si="3"/>
        <v>54832325.873036109</v>
      </c>
    </row>
    <row r="11" spans="1:12" x14ac:dyDescent="0.25">
      <c r="B11" s="8"/>
      <c r="C11" s="8"/>
      <c r="D11" s="8"/>
      <c r="E11" s="8"/>
      <c r="F11" s="8"/>
      <c r="G11" s="8"/>
      <c r="H11" s="8"/>
      <c r="I11" s="8"/>
    </row>
    <row r="12" spans="1:12" ht="15.6" customHeight="1" x14ac:dyDescent="0.25">
      <c r="B12" s="8"/>
      <c r="C12" s="8"/>
      <c r="D12" s="8"/>
      <c r="E12" s="10"/>
      <c r="F12" s="10"/>
      <c r="G12" s="10"/>
      <c r="H12" s="10"/>
      <c r="I12" s="10"/>
    </row>
    <row r="13" spans="1:12" ht="15.6" customHeight="1" x14ac:dyDescent="0.25">
      <c r="A13" t="s">
        <v>9</v>
      </c>
      <c r="B13" s="11">
        <f>'Beta &amp; WACC Calculation'!J23</f>
        <v>8.1447509366496834E-2</v>
      </c>
      <c r="C13" s="8"/>
      <c r="D13" s="8"/>
      <c r="E13" s="10"/>
      <c r="F13" s="10"/>
      <c r="G13" s="10"/>
      <c r="H13" s="10"/>
      <c r="I13" s="10"/>
    </row>
    <row r="14" spans="1:12" ht="15.6" customHeight="1" x14ac:dyDescent="0.25">
      <c r="A14" t="s">
        <v>10</v>
      </c>
      <c r="B14" s="12">
        <f>NPV(B13,E10:I10)</f>
        <v>204903052.25460115</v>
      </c>
      <c r="D14" s="13"/>
      <c r="F14" s="10"/>
      <c r="G14" s="10"/>
    </row>
    <row r="15" spans="1:12" ht="15.6" customHeight="1" thickBot="1" x14ac:dyDescent="0.3">
      <c r="A15" s="14" t="s">
        <v>11</v>
      </c>
      <c r="B15" s="15">
        <f>(I10/B13)/(1+B13)^5</f>
        <v>455125989.35016555</v>
      </c>
      <c r="C15" s="11"/>
      <c r="D15" s="8"/>
      <c r="E15" s="10"/>
      <c r="F15" s="10"/>
      <c r="G15" s="10"/>
    </row>
    <row r="16" spans="1:12" ht="15.6" customHeight="1" x14ac:dyDescent="0.25">
      <c r="A16" t="s">
        <v>12</v>
      </c>
      <c r="B16" s="16">
        <f>SUM(B14:B15)</f>
        <v>660029041.60476673</v>
      </c>
      <c r="C16" s="11"/>
      <c r="D16" s="13"/>
      <c r="E16" s="10"/>
      <c r="F16" s="10"/>
      <c r="G16" s="10"/>
    </row>
    <row r="17" spans="1:8" ht="15.6" customHeight="1" x14ac:dyDescent="0.25">
      <c r="A17" t="s">
        <v>13</v>
      </c>
      <c r="B17" s="7">
        <v>99870000</v>
      </c>
      <c r="C17" s="11"/>
      <c r="D17" s="13"/>
      <c r="E17" s="10"/>
      <c r="F17" s="10"/>
      <c r="G17" s="10"/>
    </row>
    <row r="18" spans="1:8" ht="15.6" customHeight="1" thickBot="1" x14ac:dyDescent="0.3">
      <c r="A18" s="14" t="s">
        <v>14</v>
      </c>
      <c r="B18" s="63">
        <v>128930000</v>
      </c>
      <c r="C18" s="11"/>
      <c r="D18" s="13"/>
      <c r="E18" s="10"/>
      <c r="F18" s="49"/>
      <c r="G18" s="10"/>
    </row>
    <row r="19" spans="1:8" ht="15.6" customHeight="1" x14ac:dyDescent="0.25">
      <c r="A19" s="18" t="s">
        <v>15</v>
      </c>
      <c r="B19" s="19">
        <f>B16+B17-B18</f>
        <v>630969041.60476673</v>
      </c>
      <c r="C19" s="11"/>
      <c r="D19" s="13"/>
      <c r="E19" s="10"/>
      <c r="F19" s="47"/>
      <c r="G19" s="10"/>
    </row>
    <row r="20" spans="1:8" ht="15.6" customHeight="1" x14ac:dyDescent="0.25">
      <c r="B20" s="10"/>
      <c r="C20" s="11"/>
      <c r="D20" s="11"/>
      <c r="E20" s="10"/>
      <c r="F20" s="10"/>
      <c r="G20" s="10"/>
      <c r="H20" s="7"/>
    </row>
    <row r="21" spans="1:8" ht="15.75" thickBot="1" x14ac:dyDescent="0.3">
      <c r="B21" s="20"/>
      <c r="C21" s="11"/>
      <c r="D21" s="11"/>
      <c r="E21" s="11"/>
      <c r="F21" s="11"/>
      <c r="G21" s="11"/>
    </row>
    <row r="22" spans="1:8" ht="15.75" thickBot="1" x14ac:dyDescent="0.3">
      <c r="B22" s="21">
        <v>2021</v>
      </c>
      <c r="C22" s="21">
        <v>2022</v>
      </c>
      <c r="D22" s="21">
        <v>2023</v>
      </c>
      <c r="E22" s="22" t="s">
        <v>16</v>
      </c>
    </row>
    <row r="23" spans="1:8" ht="15.75" thickBot="1" x14ac:dyDescent="0.3">
      <c r="A23" s="23" t="s">
        <v>17</v>
      </c>
      <c r="B23" s="24" t="s">
        <v>18</v>
      </c>
      <c r="C23" s="25">
        <f>(C2-B2)/B2</f>
        <v>-0.39268939985280682</v>
      </c>
      <c r="D23" s="25">
        <f>(D2-C2)/C2</f>
        <v>0.48993801228003203</v>
      </c>
      <c r="E23" s="59">
        <v>0.03</v>
      </c>
      <c r="F23" s="58">
        <v>0.02</v>
      </c>
    </row>
    <row r="24" spans="1:8" ht="15.75" thickBot="1" x14ac:dyDescent="0.3">
      <c r="A24" s="26" t="s">
        <v>1</v>
      </c>
      <c r="B24">
        <f t="shared" ref="B24:C24" si="4">B3/B2</f>
        <v>0.36350721470148756</v>
      </c>
      <c r="C24">
        <f t="shared" si="4"/>
        <v>0.33392211874614419</v>
      </c>
      <c r="D24">
        <f>D3/D2</f>
        <v>0.38989667954886031</v>
      </c>
      <c r="E24" s="60">
        <f>AVERAGE(B24:D24)</f>
        <v>0.36244200433216406</v>
      </c>
      <c r="F24" s="27">
        <f>_xlfn.STDEV.S(B24:D24)</f>
        <v>2.8002479695777422E-2</v>
      </c>
      <c r="G24" s="7"/>
    </row>
    <row r="25" spans="1:8" ht="15.75" thickBot="1" x14ac:dyDescent="0.3">
      <c r="A25" s="28" t="s">
        <v>19</v>
      </c>
      <c r="B25" s="29">
        <f>B4/B2</f>
        <v>8.434621646334664E-2</v>
      </c>
      <c r="C25" s="29">
        <f t="shared" ref="C25:D25" si="5">C4/C2</f>
        <v>0.11110784688151829</v>
      </c>
      <c r="D25" s="29">
        <f t="shared" si="5"/>
        <v>7.8316014669926645E-2</v>
      </c>
      <c r="E25" s="60">
        <v>3.7850000000000002E-2</v>
      </c>
      <c r="F25" s="56">
        <f>_xlfn.STDEV.S(B25:D25)</f>
        <v>1.7453998854614707E-2</v>
      </c>
      <c r="G25" s="31"/>
      <c r="H25" s="7"/>
    </row>
    <row r="26" spans="1:8" ht="15.75" thickBot="1" x14ac:dyDescent="0.3">
      <c r="E26" s="7"/>
      <c r="F26" s="30"/>
      <c r="G26" s="31"/>
      <c r="H26" s="7"/>
    </row>
    <row r="27" spans="1:8" ht="15.75" thickBot="1" x14ac:dyDescent="0.3">
      <c r="E27" s="231" t="s">
        <v>20</v>
      </c>
      <c r="F27" s="232"/>
    </row>
    <row r="28" spans="1:8" ht="15.75" thickBot="1" x14ac:dyDescent="0.3">
      <c r="A28" s="32"/>
      <c r="B28" s="33" t="s">
        <v>21</v>
      </c>
      <c r="C28" s="33" t="s">
        <v>22</v>
      </c>
      <c r="D28" s="34" t="s">
        <v>23</v>
      </c>
      <c r="E28" s="35" t="s">
        <v>24</v>
      </c>
      <c r="F28" s="36" t="s">
        <v>25</v>
      </c>
      <c r="G28" s="31"/>
      <c r="H28" s="7"/>
    </row>
    <row r="29" spans="1:8" x14ac:dyDescent="0.25">
      <c r="A29" s="37" t="s">
        <v>26</v>
      </c>
      <c r="B29" s="6">
        <f>C29-F23</f>
        <v>9.9999999999999985E-3</v>
      </c>
      <c r="C29" s="38">
        <f>E23</f>
        <v>0.03</v>
      </c>
      <c r="D29" s="6">
        <f>C29+F23</f>
        <v>0.05</v>
      </c>
      <c r="E29" s="39" t="s">
        <v>22</v>
      </c>
      <c r="F29" s="40">
        <v>4.2928988627511766E-2</v>
      </c>
    </row>
    <row r="30" spans="1:8" x14ac:dyDescent="0.25">
      <c r="A30" s="37" t="s">
        <v>27</v>
      </c>
      <c r="B30" s="6">
        <f>C30+F24</f>
        <v>0.39044448402794146</v>
      </c>
      <c r="C30" s="41">
        <f>E24</f>
        <v>0.36244200433216406</v>
      </c>
      <c r="D30" s="6">
        <f>C30-F24</f>
        <v>0.33443952463638665</v>
      </c>
      <c r="E30" s="42" t="s">
        <v>22</v>
      </c>
      <c r="F30" s="43">
        <v>0.4415</v>
      </c>
    </row>
    <row r="31" spans="1:8" ht="15.75" thickBot="1" x14ac:dyDescent="0.3">
      <c r="A31" s="44" t="s">
        <v>19</v>
      </c>
      <c r="B31" s="54">
        <f>C31+F25</f>
        <v>5.5303998854614705E-2</v>
      </c>
      <c r="C31" s="55">
        <f>E25</f>
        <v>3.7850000000000002E-2</v>
      </c>
      <c r="D31" s="54">
        <f>C31-F25</f>
        <v>2.0396001145385294E-2</v>
      </c>
      <c r="E31" s="45" t="s">
        <v>22</v>
      </c>
      <c r="F31" s="46">
        <v>16639774</v>
      </c>
    </row>
    <row r="33" spans="1:6" x14ac:dyDescent="0.25">
      <c r="A33" t="s">
        <v>28</v>
      </c>
    </row>
    <row r="34" spans="1:6" x14ac:dyDescent="0.25">
      <c r="A34" t="s">
        <v>29</v>
      </c>
    </row>
    <row r="35" spans="1:6" x14ac:dyDescent="0.25">
      <c r="A35" t="s">
        <v>20</v>
      </c>
    </row>
    <row r="36" spans="1:6" x14ac:dyDescent="0.25">
      <c r="A36" t="s">
        <v>30</v>
      </c>
    </row>
    <row r="37" spans="1:6" x14ac:dyDescent="0.25">
      <c r="E37" s="233"/>
      <c r="F37" s="233"/>
    </row>
    <row r="39" spans="1:6" x14ac:dyDescent="0.25">
      <c r="C39" s="50"/>
      <c r="D39" s="50"/>
    </row>
    <row r="40" spans="1:6" x14ac:dyDescent="0.25">
      <c r="C40" s="50"/>
      <c r="D40" s="50"/>
      <c r="F40" s="7"/>
    </row>
    <row r="41" spans="1:6" x14ac:dyDescent="0.25">
      <c r="C41" s="50"/>
      <c r="D41" s="50"/>
    </row>
    <row r="42" spans="1:6" x14ac:dyDescent="0.25">
      <c r="C42" s="50"/>
      <c r="D42" s="50"/>
      <c r="E42" s="230"/>
      <c r="F42" s="230"/>
    </row>
    <row r="43" spans="1:6" x14ac:dyDescent="0.25">
      <c r="C43" s="50"/>
      <c r="D43" s="50"/>
      <c r="E43" s="230"/>
      <c r="F43" s="230"/>
    </row>
    <row r="44" spans="1:6" x14ac:dyDescent="0.25">
      <c r="C44" s="50"/>
      <c r="D44" s="50"/>
      <c r="E44" s="230"/>
      <c r="F44" s="230"/>
    </row>
    <row r="51" spans="2:5" x14ac:dyDescent="0.25">
      <c r="E51" s="18"/>
    </row>
    <row r="52" spans="2:5" x14ac:dyDescent="0.25">
      <c r="E52" s="52"/>
    </row>
    <row r="53" spans="2:5" ht="14.45" customHeight="1" x14ac:dyDescent="0.25">
      <c r="B53" s="230"/>
      <c r="C53" s="230"/>
      <c r="E53" s="53"/>
    </row>
    <row r="54" spans="2:5" x14ac:dyDescent="0.25">
      <c r="B54" s="230"/>
      <c r="C54" s="230"/>
      <c r="E54" s="53"/>
    </row>
    <row r="55" spans="2:5" x14ac:dyDescent="0.25">
      <c r="B55" s="230"/>
      <c r="C55" s="230"/>
      <c r="E55" s="53"/>
    </row>
  </sheetData>
  <mergeCells count="8">
    <mergeCell ref="B54:C54"/>
    <mergeCell ref="B55:C55"/>
    <mergeCell ref="B53:C53"/>
    <mergeCell ref="E27:F27"/>
    <mergeCell ref="E37:F37"/>
    <mergeCell ref="E43:F43"/>
    <mergeCell ref="E44:F44"/>
    <mergeCell ref="E42:F42"/>
  </mergeCells>
  <dataValidations disablePrompts="1" count="5">
    <dataValidation type="list" allowBlank="1" showInputMessage="1" showErrorMessage="1" sqref="F29" xr:uid="{EB95A6C1-6434-4DF5-9CCA-2B7FF23DD838}">
      <formula1>$B$29:$D$29</formula1>
    </dataValidation>
    <dataValidation type="list" allowBlank="1" showInputMessage="1" showErrorMessage="1" sqref="F31" xr:uid="{275B701B-9D04-45BE-82A1-48901EE53663}">
      <formula1>$B$31:$D$31</formula1>
    </dataValidation>
    <dataValidation type="list" allowBlank="1" showInputMessage="1" showErrorMessage="1" sqref="F30" xr:uid="{589DF76F-A69E-4FDF-88B6-8F929920ECAC}">
      <formula1>$B$30:$D$30</formula1>
    </dataValidation>
    <dataValidation type="list" allowBlank="1" showInputMessage="1" showErrorMessage="1" sqref="A34" xr:uid="{48700C92-760D-48BE-8E29-E599101ACAAB}">
      <formula1>$D$29:$D$31</formula1>
    </dataValidation>
    <dataValidation type="list" allowBlank="1" showInputMessage="1" showErrorMessage="1" sqref="E27:F27" xr:uid="{026BA4E8-C3AD-47C4-A091-5D9E63691D71}">
      <formula1>$A$33:$A$36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1F2BD-86E4-42C5-A9AA-545899E9DECA}">
  <dimension ref="A1:L55"/>
  <sheetViews>
    <sheetView topLeftCell="A4" zoomScaleNormal="100" workbookViewId="0">
      <selection activeCell="E41" sqref="E41"/>
    </sheetView>
  </sheetViews>
  <sheetFormatPr defaultRowHeight="15" x14ac:dyDescent="0.25"/>
  <cols>
    <col min="1" max="1" width="32.140625" bestFit="1" customWidth="1"/>
    <col min="2" max="2" width="17.28515625" bestFit="1" customWidth="1"/>
    <col min="3" max="3" width="15.5703125" bestFit="1" customWidth="1"/>
    <col min="4" max="4" width="16.42578125" bestFit="1" customWidth="1"/>
    <col min="5" max="9" width="16.7109375" bestFit="1" customWidth="1"/>
    <col min="12" max="12" width="17" bestFit="1" customWidth="1"/>
    <col min="13" max="13" width="12.85546875" bestFit="1" customWidth="1"/>
    <col min="14" max="15" width="13.140625" bestFit="1" customWidth="1"/>
  </cols>
  <sheetData>
    <row r="1" spans="1:12" x14ac:dyDescent="0.25">
      <c r="A1" s="1"/>
      <c r="B1" s="2">
        <v>2021</v>
      </c>
      <c r="C1" s="2">
        <v>2022</v>
      </c>
      <c r="D1" s="3">
        <v>2023</v>
      </c>
      <c r="E1" s="4">
        <v>2024</v>
      </c>
      <c r="F1" s="4">
        <v>2025</v>
      </c>
      <c r="G1" s="4">
        <v>2026</v>
      </c>
      <c r="H1" s="4">
        <v>2027</v>
      </c>
      <c r="I1" s="4">
        <v>2028</v>
      </c>
    </row>
    <row r="2" spans="1:12" x14ac:dyDescent="0.25">
      <c r="A2" s="5" t="s">
        <v>0</v>
      </c>
      <c r="B2" s="173">
        <v>156924999.99999997</v>
      </c>
      <c r="C2" s="173">
        <v>95312500.000000015</v>
      </c>
      <c r="D2" s="174">
        <v>122544000</v>
      </c>
      <c r="E2" s="175">
        <f>D2*(1+IF($E$27=$A$34,$D$29,)+IF($E$27=$A$35,$C$29,)+IF($E$27=$A$36,$B$29,)+IF($E$27=$A$33,$F29))</f>
        <v>126220320</v>
      </c>
      <c r="F2" s="175">
        <f>E2*(1+IF($E$27=$A$34,$D$29,)+IF($E$27=$A$35,$C$29,)+IF($E$27=$A$36,$B$29,)+IF($E$27=$A$33,$F29))</f>
        <v>130006929.60000001</v>
      </c>
      <c r="G2" s="175">
        <f>F2*(1+IF($E$27=$A$34,$D$29,)+IF($E$27=$A$35,$C$29,)+IF($E$27=$A$36,$B$29,)+IF($E$27=$A$33,$F29))</f>
        <v>133907137.48800001</v>
      </c>
      <c r="H2" s="175">
        <f>G2*(1+IF($E$27=$A$34,$D$29,)+IF($E$27=$A$35,$C$29,)+IF($E$27=$A$36,$B$29,)+IF($E$27=$A$33,$F29))</f>
        <v>137924351.61264002</v>
      </c>
      <c r="I2" s="175">
        <f>H2*(1+IF($E$27=$A$34,$D$29,)+IF($E$27=$A$35,$C$29,)+IF($E$27=$A$36,$B$29,)+IF($E$27=$A$33,$F29))</f>
        <v>142062082.16101924</v>
      </c>
      <c r="L2" s="6"/>
    </row>
    <row r="3" spans="1:12" x14ac:dyDescent="0.25">
      <c r="A3" s="5" t="s">
        <v>1</v>
      </c>
      <c r="B3" s="188">
        <v>41774500</v>
      </c>
      <c r="C3" s="188">
        <v>32577000</v>
      </c>
      <c r="D3" s="187">
        <v>34948499.999999993</v>
      </c>
      <c r="E3" s="175">
        <f>E2*(IF($E$27=$A$34,$D$30,)+IF($E$27=$A$35,$C$30,)+IF($E$27=$A$36,$B$30,)+IF($E$27=$A$33,$F30))</f>
        <v>37579563.400205605</v>
      </c>
      <c r="F3" s="175">
        <f>F2*(IF($E$27=$A$34,$D$30,)+IF($E$27=$A$35,$C$30,)+IF($E$27=$A$36,$B$30,)+IF($E$27=$A$33,$F30))</f>
        <v>38706950.302211776</v>
      </c>
      <c r="G3" s="175">
        <f>G2*(IF($E$27=$A$34,$D$30,)+IF($E$27=$A$35,$C$30,)+IF($E$27=$A$36,$B$30,)+IF($E$27=$A$33,$F30))</f>
        <v>39868158.811278127</v>
      </c>
      <c r="H3" s="175">
        <f>H2*(IF($E$27=$A$34,$D$30,)+IF($E$27=$A$35,$C$30,)+IF($E$27=$A$36,$B$30,)+IF($E$27=$A$33,$F30))</f>
        <v>41064203.575616479</v>
      </c>
      <c r="I3" s="175">
        <f>I2*(IF($E$27=$A$34,$D$30,)+IF($E$27=$A$35,$C$30,)+IF($E$27=$A$36,$B$30,)+IF($E$27=$A$33,$F30))</f>
        <v>42296129.682884976</v>
      </c>
    </row>
    <row r="4" spans="1:12" x14ac:dyDescent="0.25">
      <c r="A4" s="5" t="s">
        <v>2</v>
      </c>
      <c r="B4" s="176">
        <v>13221499.999999998</v>
      </c>
      <c r="C4" s="176">
        <v>10578750</v>
      </c>
      <c r="D4" s="187">
        <v>11105750</v>
      </c>
      <c r="E4" s="175">
        <f>D4*(1+(IF($E$27=$A$34,$D$31,)+IF($E$27=$A$35,$C$31,)+IF($E$27=$A$36,$B$31,)+IF($E$27=$A$33,$F31)))</f>
        <v>11659038.465</v>
      </c>
      <c r="F4" s="175">
        <f>E4*(1+(IF($E$27=$A$34,$D$31,)+IF($E$27=$A$35,$C$31,)+IF($E$27=$A$36,$B$31,)+IF($E$27=$A$33,$F31)))</f>
        <v>12239891.7613263</v>
      </c>
      <c r="G4" s="175">
        <f>F4*(1+(IF($E$27=$A$34,$D$31,)+IF($E$27=$A$35,$C$31,)+IF($E$27=$A$36,$B$31,)+IF($E$27=$A$33,$F31)))</f>
        <v>12849683.168875575</v>
      </c>
      <c r="H4" s="175">
        <f>G4*(1+(IF($E$27=$A$34,$D$31,)+IF($E$27=$A$35,$C$31,)+IF($E$27=$A$36,$B$31,)+IF($E$27=$A$33,$F31)))</f>
        <v>13489854.384348955</v>
      </c>
      <c r="I4" s="175">
        <f>H4*(1+(IF($E$27=$A$34,$D$31,)+IF($E$27=$A$35,$C$31,)+IF($E$27=$A$36,$B$31,)+IF($E$27=$A$33,$F31)))</f>
        <v>14161918.92977722</v>
      </c>
    </row>
    <row r="5" spans="1:12" x14ac:dyDescent="0.25">
      <c r="A5" s="5" t="s">
        <v>3</v>
      </c>
      <c r="B5" s="177">
        <v>15729999.999999998</v>
      </c>
      <c r="C5" s="178">
        <v>13440000.000000002</v>
      </c>
      <c r="D5" s="179">
        <v>13360000</v>
      </c>
      <c r="E5" s="180">
        <f>AVERAGE($B$5:$D$5)</f>
        <v>14176666.666666666</v>
      </c>
      <c r="F5" s="180">
        <f>AVERAGE($B$5:$D$5)</f>
        <v>14176666.666666666</v>
      </c>
      <c r="G5" s="180">
        <f>AVERAGE($B$5:$D$5)</f>
        <v>14176666.666666666</v>
      </c>
      <c r="H5" s="180">
        <f>AVERAGE($B$5:$D$5)</f>
        <v>14176666.666666666</v>
      </c>
      <c r="I5" s="180">
        <f>AVERAGE($B$5:$D$5)</f>
        <v>14176666.666666666</v>
      </c>
    </row>
    <row r="6" spans="1:12" x14ac:dyDescent="0.25">
      <c r="A6" t="s">
        <v>4</v>
      </c>
      <c r="B6" s="181">
        <f>B2-B3-B4-B5</f>
        <v>86198999.99999997</v>
      </c>
      <c r="C6" s="181">
        <f t="shared" ref="C6:I6" si="0">C2-C3-C4-C5</f>
        <v>38716750.000000015</v>
      </c>
      <c r="D6" s="182">
        <f t="shared" si="0"/>
        <v>63129750</v>
      </c>
      <c r="E6" s="181">
        <f t="shared" si="0"/>
        <v>62805051.46812772</v>
      </c>
      <c r="F6" s="181">
        <f t="shared" si="0"/>
        <v>64883420.86979527</v>
      </c>
      <c r="G6" s="181">
        <f t="shared" si="0"/>
        <v>67012628.841179632</v>
      </c>
      <c r="H6" s="181">
        <f t="shared" si="0"/>
        <v>69193626.986007914</v>
      </c>
      <c r="I6" s="181">
        <f t="shared" si="0"/>
        <v>71427366.881690368</v>
      </c>
      <c r="J6" s="8"/>
    </row>
    <row r="7" spans="1:12" x14ac:dyDescent="0.25">
      <c r="A7" t="s">
        <v>5</v>
      </c>
      <c r="B7" s="181">
        <v>11990000</v>
      </c>
      <c r="C7" s="181">
        <v>5670000</v>
      </c>
      <c r="D7" s="182">
        <v>9350000</v>
      </c>
      <c r="E7" s="181">
        <f>0.137*E6</f>
        <v>8604292.0511334985</v>
      </c>
      <c r="F7" s="181">
        <f t="shared" ref="F7:I7" si="1">0.137*F6</f>
        <v>8889028.6591619533</v>
      </c>
      <c r="G7" s="181">
        <f t="shared" si="1"/>
        <v>9180730.1512416098</v>
      </c>
      <c r="H7" s="181">
        <f t="shared" si="1"/>
        <v>9479526.897083085</v>
      </c>
      <c r="I7" s="181">
        <f t="shared" si="1"/>
        <v>9785549.2627915815</v>
      </c>
    </row>
    <row r="8" spans="1:12" x14ac:dyDescent="0.25">
      <c r="A8" s="9" t="s">
        <v>6</v>
      </c>
      <c r="B8" s="181">
        <f>B6-B7</f>
        <v>74208999.99999997</v>
      </c>
      <c r="C8" s="181">
        <f t="shared" ref="C8:I8" si="2">C6-C7</f>
        <v>33046750.000000015</v>
      </c>
      <c r="D8" s="182">
        <f t="shared" si="2"/>
        <v>53779750</v>
      </c>
      <c r="E8" s="181">
        <f t="shared" si="2"/>
        <v>54200759.416994222</v>
      </c>
      <c r="F8" s="181">
        <f t="shared" si="2"/>
        <v>55994392.210633315</v>
      </c>
      <c r="G8" s="181">
        <f t="shared" si="2"/>
        <v>57831898.689938024</v>
      </c>
      <c r="H8" s="181">
        <f t="shared" si="2"/>
        <v>59714100.088924825</v>
      </c>
      <c r="I8" s="181">
        <f t="shared" si="2"/>
        <v>61641817.618898787</v>
      </c>
      <c r="J8" s="8"/>
    </row>
    <row r="9" spans="1:12" x14ac:dyDescent="0.25">
      <c r="A9" s="62" t="s">
        <v>7</v>
      </c>
      <c r="B9" s="183">
        <f>B8</f>
        <v>74208999.99999997</v>
      </c>
      <c r="C9" s="183">
        <f t="shared" ref="C9:I9" si="3">C8</f>
        <v>33046750.000000015</v>
      </c>
      <c r="D9" s="184">
        <f t="shared" si="3"/>
        <v>53779750</v>
      </c>
      <c r="E9" s="183">
        <f t="shared" si="3"/>
        <v>54200759.416994222</v>
      </c>
      <c r="F9" s="183">
        <f t="shared" si="3"/>
        <v>55994392.210633315</v>
      </c>
      <c r="G9" s="183">
        <f t="shared" si="3"/>
        <v>57831898.689938024</v>
      </c>
      <c r="H9" s="183">
        <f t="shared" si="3"/>
        <v>59714100.088924825</v>
      </c>
      <c r="I9" s="183">
        <f t="shared" si="3"/>
        <v>61641817.618898787</v>
      </c>
    </row>
    <row r="10" spans="1:12" x14ac:dyDescent="0.25">
      <c r="A10" s="51" t="s">
        <v>8</v>
      </c>
      <c r="B10" s="185">
        <f t="shared" ref="B10:I10" si="4">SUM(B9:B9)</f>
        <v>74208999.99999997</v>
      </c>
      <c r="C10" s="185">
        <f t="shared" si="4"/>
        <v>33046750.000000015</v>
      </c>
      <c r="D10" s="186">
        <f t="shared" si="4"/>
        <v>53779750</v>
      </c>
      <c r="E10" s="185">
        <f t="shared" si="4"/>
        <v>54200759.416994222</v>
      </c>
      <c r="F10" s="185">
        <f t="shared" si="4"/>
        <v>55994392.210633315</v>
      </c>
      <c r="G10" s="185">
        <f t="shared" si="4"/>
        <v>57831898.689938024</v>
      </c>
      <c r="H10" s="185">
        <f t="shared" si="4"/>
        <v>59714100.088924825</v>
      </c>
      <c r="I10" s="185">
        <f t="shared" si="4"/>
        <v>61641817.618898787</v>
      </c>
    </row>
    <row r="11" spans="1:12" x14ac:dyDescent="0.25">
      <c r="B11" s="8"/>
      <c r="C11" s="8"/>
      <c r="D11" s="8"/>
      <c r="E11" s="8"/>
      <c r="F11" s="8"/>
      <c r="G11" s="8"/>
      <c r="H11" s="8"/>
      <c r="I11" s="8"/>
    </row>
    <row r="12" spans="1:12" ht="15.6" customHeight="1" x14ac:dyDescent="0.25">
      <c r="B12" s="8"/>
      <c r="C12" s="8"/>
      <c r="D12" s="8"/>
      <c r="E12" s="10"/>
      <c r="F12" s="10"/>
      <c r="G12" s="10"/>
      <c r="H12" s="10"/>
      <c r="I12" s="10"/>
    </row>
    <row r="13" spans="1:12" ht="15.6" customHeight="1" x14ac:dyDescent="0.25">
      <c r="A13" t="s">
        <v>31</v>
      </c>
      <c r="B13" s="11">
        <f>'Beta &amp; WACC Calculation'!J22</f>
        <v>8.2345781515664268E-2</v>
      </c>
      <c r="C13" s="8"/>
      <c r="D13" s="8"/>
      <c r="E13" s="10"/>
      <c r="F13" s="10"/>
      <c r="G13" s="10"/>
      <c r="H13" s="10"/>
      <c r="I13" s="10"/>
    </row>
    <row r="14" spans="1:12" ht="15.6" customHeight="1" x14ac:dyDescent="0.25">
      <c r="A14" t="s">
        <v>10</v>
      </c>
      <c r="B14" s="12">
        <f>NPV(B13,E10:I10)</f>
        <v>228498504.45975253</v>
      </c>
      <c r="D14" s="13"/>
      <c r="E14" s="10"/>
      <c r="F14" s="10"/>
      <c r="G14" s="10"/>
    </row>
    <row r="15" spans="1:12" ht="15.6" customHeight="1" thickBot="1" x14ac:dyDescent="0.3">
      <c r="A15" s="14" t="s">
        <v>11</v>
      </c>
      <c r="B15" s="15">
        <f>(I10/B13)/(1+B13)^5</f>
        <v>503969131.64429498</v>
      </c>
      <c r="C15" s="11"/>
      <c r="D15" s="13"/>
      <c r="E15" s="10"/>
      <c r="F15" s="10"/>
      <c r="G15" s="10"/>
    </row>
    <row r="16" spans="1:12" ht="15.6" customHeight="1" x14ac:dyDescent="0.25">
      <c r="A16" t="s">
        <v>12</v>
      </c>
      <c r="B16" s="16">
        <f>SUM(B14:B15)</f>
        <v>732467636.10404754</v>
      </c>
      <c r="C16" s="11"/>
      <c r="D16" s="13"/>
      <c r="E16" s="10"/>
      <c r="F16" s="10"/>
      <c r="G16" s="10"/>
    </row>
    <row r="17" spans="1:8" ht="15.6" customHeight="1" x14ac:dyDescent="0.25">
      <c r="A17" t="s">
        <v>13</v>
      </c>
      <c r="B17" s="7">
        <v>126710453.75</v>
      </c>
      <c r="C17" s="11"/>
      <c r="D17" s="13"/>
      <c r="E17" s="10"/>
      <c r="F17" s="10"/>
      <c r="G17" s="10"/>
    </row>
    <row r="18" spans="1:8" ht="15.6" customHeight="1" thickBot="1" x14ac:dyDescent="0.3">
      <c r="A18" s="14" t="s">
        <v>14</v>
      </c>
      <c r="B18" s="63">
        <v>225890000</v>
      </c>
      <c r="C18" s="11"/>
      <c r="D18" s="13"/>
      <c r="E18" s="10"/>
      <c r="F18" s="10"/>
      <c r="G18" s="10"/>
    </row>
    <row r="19" spans="1:8" ht="15.6" customHeight="1" x14ac:dyDescent="0.25">
      <c r="A19" s="18" t="s">
        <v>15</v>
      </c>
      <c r="B19" s="19">
        <f>B16+B17-B18</f>
        <v>633288089.85404754</v>
      </c>
      <c r="C19" s="11"/>
      <c r="D19" s="13"/>
      <c r="E19" s="10"/>
      <c r="F19" s="10"/>
      <c r="G19" s="10"/>
    </row>
    <row r="20" spans="1:8" ht="15.6" customHeight="1" x14ac:dyDescent="0.25">
      <c r="B20" s="10"/>
      <c r="C20" s="11"/>
      <c r="D20" s="11"/>
      <c r="E20" s="10"/>
      <c r="F20" s="10"/>
      <c r="G20" s="10"/>
      <c r="H20" s="7"/>
    </row>
    <row r="21" spans="1:8" ht="15.75" thickBot="1" x14ac:dyDescent="0.3">
      <c r="B21" s="12"/>
      <c r="C21" s="11"/>
      <c r="D21" s="11"/>
      <c r="E21" s="11"/>
      <c r="F21" s="11"/>
      <c r="G21" s="11"/>
    </row>
    <row r="22" spans="1:8" ht="15.75" thickBot="1" x14ac:dyDescent="0.3">
      <c r="B22" s="21">
        <v>2021</v>
      </c>
      <c r="C22" s="21">
        <v>2022</v>
      </c>
      <c r="D22" s="21">
        <v>2023</v>
      </c>
      <c r="E22" s="22" t="s">
        <v>16</v>
      </c>
    </row>
    <row r="23" spans="1:8" ht="15.75" thickBot="1" x14ac:dyDescent="0.3">
      <c r="A23" s="23" t="s">
        <v>17</v>
      </c>
      <c r="B23" s="24" t="s">
        <v>18</v>
      </c>
      <c r="C23" s="25">
        <f>(C2-B2)/B2</f>
        <v>-0.39262386490361617</v>
      </c>
      <c r="D23" s="25">
        <f>(D2-C2)/C2</f>
        <v>0.28570754098360635</v>
      </c>
      <c r="E23" s="59">
        <v>0.03</v>
      </c>
      <c r="F23" s="189">
        <f>0.05</f>
        <v>0.05</v>
      </c>
    </row>
    <row r="24" spans="1:8" ht="15.75" thickBot="1" x14ac:dyDescent="0.3">
      <c r="A24" s="26" t="s">
        <v>1</v>
      </c>
      <c r="B24">
        <f t="shared" ref="B24:C24" si="5">B3/B2</f>
        <v>0.2662067866815358</v>
      </c>
      <c r="C24">
        <f t="shared" si="5"/>
        <v>0.34179147540983601</v>
      </c>
      <c r="D24">
        <f>D3/D2</f>
        <v>0.28519144144144137</v>
      </c>
      <c r="E24" s="60">
        <f>AVERAGE(B24:D24)</f>
        <v>0.29772990117760439</v>
      </c>
      <c r="F24" s="190">
        <f>_xlfn.STDEV.S(B24:D24)</f>
        <v>3.9321381231526717E-2</v>
      </c>
      <c r="G24" s="7"/>
    </row>
    <row r="25" spans="1:8" ht="15.75" thickBot="1" x14ac:dyDescent="0.3">
      <c r="A25" s="28" t="s">
        <v>19</v>
      </c>
      <c r="B25" s="48">
        <f>B4</f>
        <v>13221499.999999998</v>
      </c>
      <c r="C25" s="48">
        <f t="shared" ref="C25" si="6">C4</f>
        <v>10578750</v>
      </c>
      <c r="D25" s="48">
        <f>D4</f>
        <v>11105750</v>
      </c>
      <c r="E25" s="61">
        <v>4.9820000000000003E-2</v>
      </c>
      <c r="F25" s="30">
        <v>553288.46500000008</v>
      </c>
      <c r="G25" s="31"/>
      <c r="H25" s="7"/>
    </row>
    <row r="26" spans="1:8" ht="15.75" thickBot="1" x14ac:dyDescent="0.3">
      <c r="E26" s="7"/>
      <c r="F26" s="30"/>
      <c r="G26" s="31"/>
      <c r="H26" s="7"/>
    </row>
    <row r="27" spans="1:8" ht="15.75" thickBot="1" x14ac:dyDescent="0.3">
      <c r="E27" s="231" t="s">
        <v>20</v>
      </c>
      <c r="F27" s="232"/>
    </row>
    <row r="28" spans="1:8" ht="15.75" thickBot="1" x14ac:dyDescent="0.3">
      <c r="A28" s="32"/>
      <c r="B28" s="33" t="s">
        <v>21</v>
      </c>
      <c r="C28" s="33" t="s">
        <v>22</v>
      </c>
      <c r="D28" s="34" t="s">
        <v>23</v>
      </c>
      <c r="E28" s="35" t="s">
        <v>24</v>
      </c>
      <c r="F28" s="36" t="s">
        <v>25</v>
      </c>
      <c r="G28" s="31"/>
      <c r="H28" s="7"/>
    </row>
    <row r="29" spans="1:8" x14ac:dyDescent="0.25">
      <c r="A29" s="37" t="s">
        <v>26</v>
      </c>
      <c r="B29" s="6">
        <f>C29-F23</f>
        <v>-2.0000000000000004E-2</v>
      </c>
      <c r="C29" s="38">
        <f>E23</f>
        <v>0.03</v>
      </c>
      <c r="D29" s="6">
        <f>C29+F23</f>
        <v>0.08</v>
      </c>
      <c r="E29" s="39" t="s">
        <v>22</v>
      </c>
      <c r="F29" s="40">
        <v>4.2928988627511766E-2</v>
      </c>
    </row>
    <row r="30" spans="1:8" x14ac:dyDescent="0.25">
      <c r="A30" s="37" t="s">
        <v>27</v>
      </c>
      <c r="B30" s="6">
        <f>C30+F24</f>
        <v>0.33705128240913113</v>
      </c>
      <c r="C30" s="38">
        <f>E24</f>
        <v>0.29772990117760439</v>
      </c>
      <c r="D30" s="6">
        <f>C30-F24</f>
        <v>0.25840851994607766</v>
      </c>
      <c r="E30" s="42" t="s">
        <v>22</v>
      </c>
      <c r="F30" s="43">
        <v>0.4415</v>
      </c>
    </row>
    <row r="31" spans="1:8" ht="15.75" thickBot="1" x14ac:dyDescent="0.3">
      <c r="A31" s="44" t="s">
        <v>19</v>
      </c>
      <c r="B31" s="17">
        <f>C31+F25</f>
        <v>553288.51482000004</v>
      </c>
      <c r="C31" s="55">
        <f>E25</f>
        <v>4.9820000000000003E-2</v>
      </c>
      <c r="D31" s="17">
        <f>C31-F25</f>
        <v>-553288.41518000013</v>
      </c>
      <c r="E31" s="45" t="s">
        <v>22</v>
      </c>
      <c r="F31" s="46">
        <v>16639774</v>
      </c>
    </row>
    <row r="33" spans="1:6" x14ac:dyDescent="0.25">
      <c r="A33" t="s">
        <v>28</v>
      </c>
    </row>
    <row r="34" spans="1:6" x14ac:dyDescent="0.25">
      <c r="A34" t="s">
        <v>29</v>
      </c>
    </row>
    <row r="35" spans="1:6" x14ac:dyDescent="0.25">
      <c r="A35" t="s">
        <v>20</v>
      </c>
    </row>
    <row r="36" spans="1:6" x14ac:dyDescent="0.25">
      <c r="A36" t="s">
        <v>30</v>
      </c>
    </row>
    <row r="37" spans="1:6" x14ac:dyDescent="0.25">
      <c r="E37" s="233"/>
      <c r="F37" s="233"/>
    </row>
    <row r="39" spans="1:6" x14ac:dyDescent="0.25">
      <c r="C39" s="50"/>
      <c r="D39" s="50"/>
    </row>
    <row r="40" spans="1:6" x14ac:dyDescent="0.25">
      <c r="C40" s="50"/>
      <c r="D40" s="50"/>
      <c r="F40" s="7"/>
    </row>
    <row r="41" spans="1:6" x14ac:dyDescent="0.25">
      <c r="C41" s="50"/>
      <c r="D41" s="50"/>
    </row>
    <row r="42" spans="1:6" x14ac:dyDescent="0.25">
      <c r="C42" s="50"/>
      <c r="D42" s="50"/>
      <c r="E42" s="230"/>
      <c r="F42" s="230"/>
    </row>
    <row r="43" spans="1:6" x14ac:dyDescent="0.25">
      <c r="C43" s="50"/>
      <c r="D43" s="50"/>
      <c r="E43" s="230"/>
      <c r="F43" s="230"/>
    </row>
    <row r="44" spans="1:6" x14ac:dyDescent="0.25">
      <c r="C44" s="50"/>
      <c r="D44" s="50"/>
      <c r="E44" s="230"/>
      <c r="F44" s="230"/>
    </row>
    <row r="51" spans="2:5" x14ac:dyDescent="0.25">
      <c r="E51" s="18"/>
    </row>
    <row r="52" spans="2:5" x14ac:dyDescent="0.25">
      <c r="E52" s="52"/>
    </row>
    <row r="53" spans="2:5" ht="14.45" customHeight="1" x14ac:dyDescent="0.25">
      <c r="B53" s="230"/>
      <c r="C53" s="230"/>
      <c r="E53" s="53"/>
    </row>
    <row r="54" spans="2:5" x14ac:dyDescent="0.25">
      <c r="B54" s="230"/>
      <c r="C54" s="230"/>
      <c r="E54" s="53"/>
    </row>
    <row r="55" spans="2:5" x14ac:dyDescent="0.25">
      <c r="B55" s="230"/>
      <c r="C55" s="230"/>
      <c r="E55" s="53"/>
    </row>
  </sheetData>
  <mergeCells count="8">
    <mergeCell ref="B54:C54"/>
    <mergeCell ref="B55:C55"/>
    <mergeCell ref="E27:F27"/>
    <mergeCell ref="E37:F37"/>
    <mergeCell ref="E42:F42"/>
    <mergeCell ref="E43:F43"/>
    <mergeCell ref="E44:F44"/>
    <mergeCell ref="B53:C53"/>
  </mergeCells>
  <dataValidations count="5">
    <dataValidation type="list" allowBlank="1" showInputMessage="1" showErrorMessage="1" sqref="F31" xr:uid="{10AE9D36-5123-4482-8DA7-3845783FB941}">
      <formula1>$B$31:$D$31</formula1>
    </dataValidation>
    <dataValidation type="list" allowBlank="1" showInputMessage="1" showErrorMessage="1" sqref="F30" xr:uid="{9BEDA165-80A1-40B6-8F11-F3873716F84A}">
      <formula1>$B$30:$D$30</formula1>
    </dataValidation>
    <dataValidation type="list" allowBlank="1" showInputMessage="1" showErrorMessage="1" sqref="F29" xr:uid="{83D4AA29-009E-4E39-AF1D-7E3838719515}">
      <formula1>$B$29:$D$29</formula1>
    </dataValidation>
    <dataValidation type="list" allowBlank="1" showInputMessage="1" showErrorMessage="1" sqref="A34" xr:uid="{10262F06-0983-443F-848B-53B5F216E9E4}">
      <formula1>$D$29:$D$31</formula1>
    </dataValidation>
    <dataValidation type="list" allowBlank="1" showInputMessage="1" showErrorMessage="1" sqref="E27:F27" xr:uid="{B9C930F1-97A7-455B-AB1F-1A4D2D87667A}">
      <formula1>$A$33:$A$36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435B6-0894-423C-8EA4-72ADFAB6DAF8}">
  <dimension ref="A1:T35"/>
  <sheetViews>
    <sheetView topLeftCell="F7" zoomScaleNormal="100" workbookViewId="0">
      <selection activeCell="F24" sqref="F24"/>
    </sheetView>
  </sheetViews>
  <sheetFormatPr defaultRowHeight="15" x14ac:dyDescent="0.25"/>
  <cols>
    <col min="1" max="1" width="30.7109375" customWidth="1"/>
    <col min="2" max="2" width="43" customWidth="1"/>
    <col min="3" max="3" width="17" customWidth="1"/>
    <col min="4" max="4" width="16.42578125" customWidth="1"/>
    <col min="5" max="5" width="15.85546875" customWidth="1"/>
    <col min="6" max="6" width="20.7109375" customWidth="1"/>
    <col min="7" max="7" width="18.85546875" customWidth="1"/>
    <col min="15" max="15" width="25.85546875" customWidth="1"/>
    <col min="16" max="16" width="38.140625" customWidth="1"/>
    <col min="18" max="18" width="21.7109375" customWidth="1"/>
  </cols>
  <sheetData>
    <row r="1" spans="1:20" x14ac:dyDescent="0.25">
      <c r="A1" s="69" t="s">
        <v>32</v>
      </c>
      <c r="B1" s="69"/>
      <c r="C1" s="234" t="s">
        <v>33</v>
      </c>
      <c r="D1" s="234"/>
      <c r="E1" s="234"/>
      <c r="F1" s="234"/>
      <c r="G1" s="234" t="s">
        <v>34</v>
      </c>
      <c r="H1" s="234"/>
      <c r="I1" s="234"/>
      <c r="J1" s="234"/>
      <c r="K1" s="234" t="s">
        <v>35</v>
      </c>
      <c r="L1" s="234"/>
      <c r="M1" s="234"/>
      <c r="N1" s="234"/>
      <c r="O1" s="69"/>
      <c r="P1" s="69"/>
      <c r="Q1" s="69"/>
      <c r="R1" s="69"/>
      <c r="S1" s="69"/>
    </row>
    <row r="2" spans="1:20" x14ac:dyDescent="0.25">
      <c r="A2" s="191" t="s">
        <v>36</v>
      </c>
      <c r="B2" s="191" t="s">
        <v>35</v>
      </c>
      <c r="C2" s="191" t="s">
        <v>37</v>
      </c>
      <c r="D2" s="191" t="s">
        <v>38</v>
      </c>
      <c r="E2" s="191" t="s">
        <v>39</v>
      </c>
      <c r="F2" s="191" t="s">
        <v>40</v>
      </c>
      <c r="G2" s="191" t="s">
        <v>41</v>
      </c>
      <c r="H2" s="191" t="s">
        <v>42</v>
      </c>
      <c r="I2" s="191" t="s">
        <v>43</v>
      </c>
      <c r="J2" s="191" t="s">
        <v>44</v>
      </c>
      <c r="K2" s="191" t="s">
        <v>41</v>
      </c>
      <c r="L2" s="191" t="s">
        <v>42</v>
      </c>
      <c r="M2" s="191" t="s">
        <v>43</v>
      </c>
      <c r="N2" s="191" t="s">
        <v>44</v>
      </c>
      <c r="O2" s="191" t="s">
        <v>45</v>
      </c>
      <c r="P2" s="191" t="s">
        <v>46</v>
      </c>
      <c r="Q2" s="191" t="s">
        <v>47</v>
      </c>
      <c r="R2" s="191" t="s">
        <v>48</v>
      </c>
      <c r="S2" s="191" t="s">
        <v>49</v>
      </c>
    </row>
    <row r="3" spans="1:20" x14ac:dyDescent="0.25">
      <c r="A3" s="69" t="s">
        <v>50</v>
      </c>
      <c r="B3" s="192" t="s">
        <v>51</v>
      </c>
      <c r="C3" s="192">
        <v>-0.12</v>
      </c>
      <c r="D3" s="192">
        <v>0.39</v>
      </c>
      <c r="E3" s="192">
        <v>0.8</v>
      </c>
      <c r="F3" s="192">
        <v>0.73</v>
      </c>
      <c r="G3" s="193">
        <v>-0.29260000000000003</v>
      </c>
      <c r="H3" s="193">
        <v>8.1799999999999998E-2</v>
      </c>
      <c r="I3" s="193">
        <v>0.1176</v>
      </c>
      <c r="J3" s="193">
        <v>0.14829999999999999</v>
      </c>
      <c r="K3" s="193">
        <v>-0.29139999999999999</v>
      </c>
      <c r="L3" s="193">
        <v>7.7899999999999997E-2</v>
      </c>
      <c r="M3" s="193">
        <v>0.1096</v>
      </c>
      <c r="N3" s="193">
        <v>0.14099999999999999</v>
      </c>
      <c r="O3" s="69">
        <v>4.1641355999999997E-2</v>
      </c>
      <c r="P3" s="69">
        <v>4.0843809000000002E-2</v>
      </c>
      <c r="Q3" s="69">
        <v>1.0195270000000001</v>
      </c>
      <c r="R3" s="194">
        <v>4929000000</v>
      </c>
      <c r="S3" s="69">
        <v>0.48773</v>
      </c>
    </row>
    <row r="4" spans="1:20" x14ac:dyDescent="0.25">
      <c r="A4" s="69" t="s">
        <v>52</v>
      </c>
      <c r="B4" s="192" t="s">
        <v>51</v>
      </c>
      <c r="C4" s="192">
        <v>-3.29</v>
      </c>
      <c r="D4" s="192">
        <v>4.8099999999999996</v>
      </c>
      <c r="E4" s="192">
        <v>3.09</v>
      </c>
      <c r="F4" s="192">
        <v>2.4700000000000002</v>
      </c>
      <c r="G4" s="193">
        <v>-0.32429999999999998</v>
      </c>
      <c r="H4" s="193">
        <v>0.126</v>
      </c>
      <c r="I4" s="193">
        <v>0.14050000000000001</v>
      </c>
      <c r="J4" s="193">
        <v>0.16569999999999999</v>
      </c>
      <c r="K4" s="193">
        <v>-0.29139999999999999</v>
      </c>
      <c r="L4" s="193">
        <v>7.7899999999999997E-2</v>
      </c>
      <c r="M4" s="193">
        <v>0.1096</v>
      </c>
      <c r="N4" s="193">
        <v>0.14099999999999999</v>
      </c>
      <c r="O4" s="69">
        <v>4.7359382999999998E-2</v>
      </c>
      <c r="P4" s="69">
        <v>4.0843809000000002E-2</v>
      </c>
      <c r="Q4" s="69">
        <v>1.159524</v>
      </c>
      <c r="R4" s="194">
        <v>1351000000</v>
      </c>
      <c r="S4" s="69">
        <v>0.133683</v>
      </c>
    </row>
    <row r="5" spans="1:20" x14ac:dyDescent="0.25">
      <c r="A5" s="69" t="s">
        <v>53</v>
      </c>
      <c r="B5" s="192" t="s">
        <v>54</v>
      </c>
      <c r="C5" s="192">
        <v>-2.56</v>
      </c>
      <c r="D5" s="192">
        <v>-1.39</v>
      </c>
      <c r="E5" s="192">
        <v>-2.27</v>
      </c>
      <c r="F5" s="192">
        <v>-0.23</v>
      </c>
      <c r="G5" s="193">
        <v>-0.15260000000000001</v>
      </c>
      <c r="H5" s="193">
        <v>0.18290000000000001</v>
      </c>
      <c r="I5" s="193">
        <v>5.1999999999999998E-2</v>
      </c>
      <c r="J5" s="193">
        <v>9.4299999999999995E-2</v>
      </c>
      <c r="K5" s="193">
        <v>-0.127</v>
      </c>
      <c r="L5" s="193">
        <v>0.1968</v>
      </c>
      <c r="M5" s="193">
        <v>7.4700000000000003E-2</v>
      </c>
      <c r="N5" s="193">
        <v>9.6600000000000005E-2</v>
      </c>
      <c r="O5" s="69">
        <v>1.9241378E-2</v>
      </c>
      <c r="P5" s="69">
        <v>1.8412863000000002E-2</v>
      </c>
      <c r="Q5" s="69">
        <v>1.044997</v>
      </c>
      <c r="R5" s="194">
        <v>2453000000</v>
      </c>
      <c r="S5" s="69">
        <v>0.242727</v>
      </c>
    </row>
    <row r="6" spans="1:20" x14ac:dyDescent="0.25">
      <c r="A6" s="69" t="s">
        <v>55</v>
      </c>
      <c r="B6" s="192" t="s">
        <v>56</v>
      </c>
      <c r="C6" s="192">
        <v>-1.07</v>
      </c>
      <c r="D6" s="192">
        <v>-0.44</v>
      </c>
      <c r="E6" s="192">
        <v>-0.19</v>
      </c>
      <c r="F6" s="192">
        <v>-0.3</v>
      </c>
      <c r="G6" s="193">
        <v>-0.1079</v>
      </c>
      <c r="H6" s="193">
        <v>-4.2099999999999999E-2</v>
      </c>
      <c r="I6" s="193">
        <v>3.3999999999999998E-3</v>
      </c>
      <c r="J6" s="193">
        <v>8.2000000000000007E-3</v>
      </c>
      <c r="K6" s="193">
        <v>-9.7199999999999995E-2</v>
      </c>
      <c r="L6" s="193">
        <v>-3.7699999999999997E-2</v>
      </c>
      <c r="M6" s="193">
        <v>5.3E-3</v>
      </c>
      <c r="N6" s="193">
        <v>1.12E-2</v>
      </c>
      <c r="O6" s="69">
        <v>2.6960899999999999E-3</v>
      </c>
      <c r="P6" s="69">
        <v>2.5060070000000002E-3</v>
      </c>
      <c r="Q6" s="69">
        <v>1.0758509999999999</v>
      </c>
      <c r="R6" s="194">
        <v>1078000000</v>
      </c>
      <c r="S6" s="69">
        <v>0.106669</v>
      </c>
    </row>
    <row r="7" spans="1:20" x14ac:dyDescent="0.25">
      <c r="A7" s="69" t="s">
        <v>57</v>
      </c>
      <c r="B7" s="192" t="s">
        <v>58</v>
      </c>
      <c r="C7" s="192">
        <v>-0.55000000000000004</v>
      </c>
      <c r="D7" s="192">
        <v>0.17</v>
      </c>
      <c r="E7" s="192">
        <v>0.62</v>
      </c>
      <c r="F7" s="192">
        <v>0.8</v>
      </c>
      <c r="G7" s="193">
        <v>-0.1229</v>
      </c>
      <c r="H7" s="193">
        <v>4.2900000000000001E-2</v>
      </c>
      <c r="I7" s="193">
        <v>7.9899999999999999E-2</v>
      </c>
      <c r="J7" s="193">
        <v>7.3099999999999998E-2</v>
      </c>
      <c r="K7" s="193">
        <v>-0.1174</v>
      </c>
      <c r="L7" s="193">
        <v>4.1200000000000001E-2</v>
      </c>
      <c r="M7" s="193">
        <v>7.3700000000000002E-2</v>
      </c>
      <c r="N7" s="193">
        <v>6.5100000000000005E-2</v>
      </c>
      <c r="O7" s="69">
        <v>8.5669769999999999E-3</v>
      </c>
      <c r="P7" s="69">
        <v>8.0567369999999996E-3</v>
      </c>
      <c r="Q7" s="69">
        <v>1.063331</v>
      </c>
      <c r="R7" s="194">
        <v>295000000</v>
      </c>
      <c r="S7" s="69">
        <v>2.9191000000000002E-2</v>
      </c>
    </row>
    <row r="8" spans="1:20" x14ac:dyDescent="0.2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191" t="s">
        <v>59</v>
      </c>
      <c r="S8" s="195">
        <v>1.0517110000000001</v>
      </c>
      <c r="T8" t="s">
        <v>60</v>
      </c>
    </row>
    <row r="9" spans="1:20" x14ac:dyDescent="0.2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</row>
    <row r="10" spans="1:20" x14ac:dyDescent="0.25">
      <c r="A10" s="69" t="s">
        <v>32</v>
      </c>
      <c r="B10" s="69"/>
      <c r="C10" s="234" t="s">
        <v>61</v>
      </c>
      <c r="D10" s="234"/>
      <c r="E10" s="234"/>
      <c r="F10" s="234"/>
      <c r="G10" s="234" t="s">
        <v>62</v>
      </c>
      <c r="H10" s="234"/>
      <c r="I10" s="234"/>
      <c r="J10" s="234"/>
      <c r="K10" s="234" t="s">
        <v>35</v>
      </c>
      <c r="L10" s="234"/>
      <c r="M10" s="234"/>
      <c r="N10" s="234"/>
      <c r="O10" s="196" t="s">
        <v>63</v>
      </c>
      <c r="P10" s="196" t="s">
        <v>64</v>
      </c>
      <c r="Q10" s="69"/>
      <c r="R10" s="69"/>
      <c r="S10" s="69"/>
    </row>
    <row r="11" spans="1:20" x14ac:dyDescent="0.25">
      <c r="A11" s="191" t="s">
        <v>36</v>
      </c>
      <c r="B11" s="191" t="s">
        <v>35</v>
      </c>
      <c r="C11" s="191" t="s">
        <v>37</v>
      </c>
      <c r="D11" s="191" t="s">
        <v>38</v>
      </c>
      <c r="E11" s="191" t="s">
        <v>39</v>
      </c>
      <c r="F11" s="191" t="s">
        <v>40</v>
      </c>
      <c r="G11" s="191" t="s">
        <v>41</v>
      </c>
      <c r="H11" s="191" t="s">
        <v>42</v>
      </c>
      <c r="I11" s="191" t="s">
        <v>43</v>
      </c>
      <c r="J11" s="191" t="s">
        <v>44</v>
      </c>
      <c r="K11" s="191" t="s">
        <v>41</v>
      </c>
      <c r="L11" s="191" t="s">
        <v>42</v>
      </c>
      <c r="M11" s="191" t="s">
        <v>43</v>
      </c>
      <c r="N11" s="191" t="s">
        <v>44</v>
      </c>
      <c r="O11" s="191" t="s">
        <v>45</v>
      </c>
      <c r="P11" s="191" t="s">
        <v>65</v>
      </c>
      <c r="Q11" s="191" t="s">
        <v>47</v>
      </c>
      <c r="R11" s="191" t="s">
        <v>48</v>
      </c>
      <c r="S11" s="191" t="s">
        <v>49</v>
      </c>
    </row>
    <row r="12" spans="1:20" x14ac:dyDescent="0.25">
      <c r="A12" s="69" t="s">
        <v>66</v>
      </c>
      <c r="B12" s="69" t="s">
        <v>67</v>
      </c>
      <c r="C12" s="69">
        <v>-1.03</v>
      </c>
      <c r="D12" s="69">
        <v>-0.9</v>
      </c>
      <c r="E12" s="69">
        <v>-0.02</v>
      </c>
      <c r="F12" s="69">
        <v>0.87</v>
      </c>
      <c r="G12" s="193">
        <v>-4.1700000000000001E-2</v>
      </c>
      <c r="H12" s="193">
        <v>5.9400000000000001E-2</v>
      </c>
      <c r="I12" s="193">
        <v>2.6200000000000001E-2</v>
      </c>
      <c r="J12" s="193">
        <v>5.7000000000000002E-2</v>
      </c>
      <c r="K12" s="193">
        <v>-3.1399999999999997E-2</v>
      </c>
      <c r="L12" s="193">
        <v>6.8400000000000002E-2</v>
      </c>
      <c r="M12" s="193">
        <v>2.64E-2</v>
      </c>
      <c r="N12" s="193">
        <v>4.8300000000000003E-2</v>
      </c>
      <c r="O12" s="69">
        <v>1.9998289999999998E-3</v>
      </c>
      <c r="P12" s="69">
        <v>1.8583829999999999E-3</v>
      </c>
      <c r="Q12" s="69">
        <v>1.0761130000000001</v>
      </c>
      <c r="R12" s="194">
        <v>596000000</v>
      </c>
      <c r="S12" s="69">
        <v>5.8472000000000003E-2</v>
      </c>
    </row>
    <row r="13" spans="1:20" x14ac:dyDescent="0.25">
      <c r="A13" s="69" t="s">
        <v>68</v>
      </c>
      <c r="B13" s="69" t="s">
        <v>51</v>
      </c>
      <c r="C13" s="69">
        <v>-3.27</v>
      </c>
      <c r="D13" s="69">
        <v>-1.08</v>
      </c>
      <c r="E13" s="69">
        <v>0.09</v>
      </c>
      <c r="F13" s="69">
        <v>1.56</v>
      </c>
      <c r="G13" s="193">
        <v>-0.3241</v>
      </c>
      <c r="H13" s="193">
        <v>6.7100000000000007E-2</v>
      </c>
      <c r="I13" s="193">
        <v>0.1105</v>
      </c>
      <c r="J13" s="193">
        <v>0.15659999999999999</v>
      </c>
      <c r="K13" s="193">
        <v>-0.29139999999999999</v>
      </c>
      <c r="L13" s="193">
        <v>7.7899999999999997E-2</v>
      </c>
      <c r="M13" s="193">
        <v>0.1096</v>
      </c>
      <c r="N13" s="193">
        <v>0.14099999999999999</v>
      </c>
      <c r="O13" s="69">
        <v>4.4589183999999997E-2</v>
      </c>
      <c r="P13" s="69">
        <v>4.0843809000000002E-2</v>
      </c>
      <c r="Q13" s="69">
        <v>1.0916999999999999</v>
      </c>
      <c r="R13" s="194">
        <v>4244000000</v>
      </c>
      <c r="S13" s="69">
        <v>0.41636400000000001</v>
      </c>
    </row>
    <row r="14" spans="1:20" x14ac:dyDescent="0.25">
      <c r="A14" s="69" t="s">
        <v>69</v>
      </c>
      <c r="B14" s="69" t="s">
        <v>54</v>
      </c>
      <c r="C14" s="69">
        <v>-2.08</v>
      </c>
      <c r="D14" s="69">
        <v>-1.79</v>
      </c>
      <c r="E14" s="69">
        <v>-0.16</v>
      </c>
      <c r="F14" s="69">
        <v>1.19</v>
      </c>
      <c r="G14" s="193">
        <v>-0.14779999999999999</v>
      </c>
      <c r="H14" s="193">
        <v>0.1789</v>
      </c>
      <c r="I14" s="193">
        <v>7.3099999999999998E-2</v>
      </c>
      <c r="J14" s="193">
        <v>0.1085</v>
      </c>
      <c r="K14" s="193">
        <v>-0.127</v>
      </c>
      <c r="L14" s="193">
        <v>0.1968</v>
      </c>
      <c r="M14" s="193">
        <v>7.4700000000000003E-2</v>
      </c>
      <c r="N14" s="193">
        <v>9.6600000000000005E-2</v>
      </c>
      <c r="O14" s="69">
        <v>1.9033099000000001E-2</v>
      </c>
      <c r="P14" s="69">
        <v>1.8412863000000002E-2</v>
      </c>
      <c r="Q14" s="69">
        <v>1.033685</v>
      </c>
      <c r="R14" s="194">
        <v>1820000000</v>
      </c>
      <c r="S14" s="69">
        <v>0.17855399999999999</v>
      </c>
    </row>
    <row r="15" spans="1:20" x14ac:dyDescent="0.25">
      <c r="A15" s="69" t="s">
        <v>70</v>
      </c>
      <c r="B15" s="69" t="s">
        <v>71</v>
      </c>
      <c r="C15" s="69">
        <v>-3.39</v>
      </c>
      <c r="D15" s="69">
        <v>-1.29</v>
      </c>
      <c r="E15" s="69">
        <v>0.68</v>
      </c>
      <c r="F15" s="69">
        <v>2.0099999999999998</v>
      </c>
      <c r="G15" s="193">
        <v>-0.18540000000000001</v>
      </c>
      <c r="H15" s="193">
        <v>0.16700000000000001</v>
      </c>
      <c r="I15" s="193">
        <v>4.8599999999999997E-2</v>
      </c>
      <c r="J15" s="193">
        <v>9.69E-2</v>
      </c>
      <c r="K15" s="193">
        <v>-0.1515</v>
      </c>
      <c r="L15" s="193">
        <v>0.1799</v>
      </c>
      <c r="M15" s="193">
        <v>4.1799999999999997E-2</v>
      </c>
      <c r="N15" s="193">
        <v>7.6799999999999993E-2</v>
      </c>
      <c r="O15" s="69">
        <v>2.0977958000000001E-2</v>
      </c>
      <c r="P15" s="69">
        <v>1.9186497E-2</v>
      </c>
      <c r="Q15" s="69">
        <v>1.0933710000000001</v>
      </c>
      <c r="R15" s="194">
        <v>882000000</v>
      </c>
      <c r="S15" s="69">
        <v>8.6529999999999996E-2</v>
      </c>
    </row>
    <row r="16" spans="1:20" x14ac:dyDescent="0.25">
      <c r="A16" s="69" t="s">
        <v>72</v>
      </c>
      <c r="B16" s="197" t="s">
        <v>73</v>
      </c>
      <c r="C16" s="69">
        <v>-0.56999999999999995</v>
      </c>
      <c r="D16" s="69">
        <v>0.9</v>
      </c>
      <c r="E16" s="69">
        <v>1.32</v>
      </c>
      <c r="F16" s="69">
        <v>1.7</v>
      </c>
      <c r="G16" s="193">
        <v>-6.5000000000000002E-2</v>
      </c>
      <c r="H16" s="193">
        <v>1.18E-2</v>
      </c>
      <c r="I16" s="193">
        <v>2.7699999999999999E-2</v>
      </c>
      <c r="J16" s="193">
        <v>4.82E-2</v>
      </c>
      <c r="K16" s="193">
        <v>-5.9299999999999999E-2</v>
      </c>
      <c r="L16" s="193">
        <v>2.8E-3</v>
      </c>
      <c r="M16" s="193">
        <v>1.4500000000000001E-2</v>
      </c>
      <c r="N16" s="193">
        <v>3.1199999999999999E-2</v>
      </c>
      <c r="O16" s="69">
        <v>1.95144E-3</v>
      </c>
      <c r="P16" s="69">
        <v>1.5596200000000001E-3</v>
      </c>
      <c r="Q16" s="69">
        <v>1.251228</v>
      </c>
      <c r="R16" s="194">
        <v>1027000000</v>
      </c>
      <c r="S16" s="69">
        <v>0.100755</v>
      </c>
    </row>
    <row r="17" spans="1:20" x14ac:dyDescent="0.25">
      <c r="A17" s="69" t="s">
        <v>74</v>
      </c>
      <c r="B17" s="69" t="s">
        <v>56</v>
      </c>
      <c r="C17" s="69">
        <v>0.23</v>
      </c>
      <c r="D17" s="69">
        <v>0.43</v>
      </c>
      <c r="E17" s="69">
        <v>0.09</v>
      </c>
      <c r="F17" s="69">
        <v>-0.27</v>
      </c>
      <c r="G17" s="193">
        <v>-9.4899999999999998E-2</v>
      </c>
      <c r="H17" s="193">
        <v>-3.3399999999999999E-2</v>
      </c>
      <c r="I17" s="193">
        <v>6.1999999999999998E-3</v>
      </c>
      <c r="J17" s="193">
        <v>8.5000000000000006E-3</v>
      </c>
      <c r="K17" s="193">
        <v>-9.7199999999999995E-2</v>
      </c>
      <c r="L17" s="193">
        <v>-3.7699999999999997E-2</v>
      </c>
      <c r="M17" s="193">
        <v>5.3E-3</v>
      </c>
      <c r="N17" s="193">
        <v>1.12E-2</v>
      </c>
      <c r="O17" s="69">
        <v>2.41632E-3</v>
      </c>
      <c r="P17" s="69">
        <v>2.5060070000000002E-3</v>
      </c>
      <c r="Q17" s="69">
        <v>0.96421100000000004</v>
      </c>
      <c r="R17" s="194">
        <v>1279000000</v>
      </c>
      <c r="S17" s="69">
        <v>0.12547800000000001</v>
      </c>
    </row>
    <row r="18" spans="1:20" x14ac:dyDescent="0.25">
      <c r="A18" s="69" t="s">
        <v>75</v>
      </c>
      <c r="B18" s="69" t="s">
        <v>76</v>
      </c>
      <c r="C18" s="69">
        <v>0.03</v>
      </c>
      <c r="D18" s="69">
        <v>0.1</v>
      </c>
      <c r="E18" s="69">
        <v>-0.22</v>
      </c>
      <c r="F18" s="69">
        <v>-0.19</v>
      </c>
      <c r="G18" s="193">
        <v>-1.8800000000000001E-2</v>
      </c>
      <c r="H18" s="193">
        <v>-2.2000000000000001E-3</v>
      </c>
      <c r="I18" s="193">
        <v>1.2200000000000001E-2</v>
      </c>
      <c r="J18" s="193">
        <v>1.18E-2</v>
      </c>
      <c r="K18" s="193">
        <v>-1.9099999999999999E-2</v>
      </c>
      <c r="L18" s="193">
        <v>-3.2000000000000002E-3</v>
      </c>
      <c r="M18" s="193">
        <v>1.44E-2</v>
      </c>
      <c r="N18" s="193">
        <v>1.37E-2</v>
      </c>
      <c r="O18" s="69">
        <v>2.3303700000000001E-4</v>
      </c>
      <c r="P18" s="69">
        <v>2.53897E-4</v>
      </c>
      <c r="Q18" s="69">
        <v>0.91784100000000002</v>
      </c>
      <c r="R18" s="194">
        <v>345000000</v>
      </c>
      <c r="S18" s="69">
        <v>3.3847000000000002E-2</v>
      </c>
    </row>
    <row r="19" spans="1:20" x14ac:dyDescent="0.2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191" t="s">
        <v>77</v>
      </c>
      <c r="S19" s="195">
        <v>1.0747660000000001</v>
      </c>
      <c r="T19" t="s">
        <v>60</v>
      </c>
    </row>
    <row r="21" spans="1:20" ht="15.75" thickBot="1" x14ac:dyDescent="0.3">
      <c r="A21" t="s">
        <v>78</v>
      </c>
      <c r="B21" s="87" t="s">
        <v>79</v>
      </c>
      <c r="C21" s="70" t="s">
        <v>80</v>
      </c>
      <c r="D21" s="70" t="s">
        <v>81</v>
      </c>
      <c r="E21" s="70" t="s">
        <v>82</v>
      </c>
      <c r="F21" s="70" t="s">
        <v>83</v>
      </c>
      <c r="G21" s="93" t="s">
        <v>47</v>
      </c>
      <c r="H21" t="s">
        <v>84</v>
      </c>
      <c r="I21" t="s">
        <v>85</v>
      </c>
      <c r="J21" t="s">
        <v>86</v>
      </c>
    </row>
    <row r="22" spans="1:20" x14ac:dyDescent="0.25">
      <c r="A22" t="s">
        <v>34</v>
      </c>
      <c r="B22" s="6">
        <v>3.95E-2</v>
      </c>
      <c r="C22" s="6">
        <v>0.13700000000000001</v>
      </c>
      <c r="D22" s="6">
        <v>4.4999999999999998E-2</v>
      </c>
      <c r="E22" s="6">
        <v>3.2500000000000001E-2</v>
      </c>
      <c r="F22" s="6">
        <v>5.5E-2</v>
      </c>
      <c r="G22">
        <f>S8</f>
        <v>1.0517110000000001</v>
      </c>
      <c r="H22">
        <f>222.35/517.1</f>
        <v>0.4299941984142332</v>
      </c>
      <c r="I22">
        <f>294.75/517.1</f>
        <v>0.57000580158576675</v>
      </c>
      <c r="J22">
        <f>(D22+G22*F22)*H22+(D22+E22)*I22*(1-C22)</f>
        <v>8.2345781515664268E-2</v>
      </c>
    </row>
    <row r="23" spans="1:20" x14ac:dyDescent="0.25">
      <c r="A23" t="s">
        <v>87</v>
      </c>
      <c r="B23" s="6">
        <v>3.95E-2</v>
      </c>
      <c r="C23" s="6">
        <v>0.13700000000000001</v>
      </c>
      <c r="D23" s="6">
        <v>4.4999999999999998E-2</v>
      </c>
      <c r="E23" s="6">
        <v>3.2500000000000001E-2</v>
      </c>
      <c r="F23" s="6">
        <v>4.4999999999999998E-2</v>
      </c>
      <c r="G23">
        <f>S19</f>
        <v>1.0747660000000001</v>
      </c>
      <c r="H23">
        <f>196.47/357.22</f>
        <v>0.54999720060466939</v>
      </c>
      <c r="I23">
        <f>160.75/357.22</f>
        <v>0.45000279939533055</v>
      </c>
      <c r="J23">
        <f>(D23+G23*F23)*H23+(D23+E23)*I23*(1-C23)</f>
        <v>8.1447509366496834E-2</v>
      </c>
    </row>
    <row r="25" spans="1:20" x14ac:dyDescent="0.25">
      <c r="R25" t="s">
        <v>88</v>
      </c>
    </row>
    <row r="26" spans="1:20" x14ac:dyDescent="0.25">
      <c r="R26" t="s">
        <v>89</v>
      </c>
    </row>
    <row r="27" spans="1:20" x14ac:dyDescent="0.25">
      <c r="R27" t="s">
        <v>90</v>
      </c>
    </row>
    <row r="28" spans="1:20" x14ac:dyDescent="0.25">
      <c r="R28" t="s">
        <v>91</v>
      </c>
    </row>
    <row r="35" spans="16:16" x14ac:dyDescent="0.25">
      <c r="P35" t="s">
        <v>92</v>
      </c>
    </row>
  </sheetData>
  <mergeCells count="6">
    <mergeCell ref="C1:F1"/>
    <mergeCell ref="G1:J1"/>
    <mergeCell ref="K1:N1"/>
    <mergeCell ref="C10:F10"/>
    <mergeCell ref="G10:J10"/>
    <mergeCell ref="K10:N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A8C2C-9EE6-4516-95CF-352C6F575474}">
  <dimension ref="A1:Q72"/>
  <sheetViews>
    <sheetView zoomScaleNormal="100" workbookViewId="0">
      <selection activeCell="M16" sqref="M16:Q22"/>
    </sheetView>
  </sheetViews>
  <sheetFormatPr defaultRowHeight="15" x14ac:dyDescent="0.25"/>
  <cols>
    <col min="1" max="1" width="19.42578125" customWidth="1"/>
    <col min="2" max="2" width="31.140625" bestFit="1" customWidth="1"/>
    <col min="3" max="6" width="19.42578125" customWidth="1"/>
    <col min="7" max="7" width="35.140625" bestFit="1" customWidth="1"/>
    <col min="8" max="8" width="7.5703125" bestFit="1" customWidth="1"/>
    <col min="9" max="9" width="7.140625" bestFit="1" customWidth="1"/>
    <col min="10" max="10" width="17" customWidth="1"/>
    <col min="11" max="12" width="19.42578125" customWidth="1"/>
    <col min="13" max="13" width="4.85546875" customWidth="1"/>
    <col min="14" max="14" width="25.28515625" bestFit="1" customWidth="1"/>
    <col min="17" max="17" width="15.7109375" bestFit="1" customWidth="1"/>
  </cols>
  <sheetData>
    <row r="1" spans="1:17" ht="15.75" thickBot="1" x14ac:dyDescent="0.3">
      <c r="A1" s="64" t="s">
        <v>93</v>
      </c>
      <c r="B1" s="235" t="s">
        <v>94</v>
      </c>
      <c r="C1" s="236"/>
      <c r="D1" s="236"/>
      <c r="E1" s="237"/>
      <c r="F1" s="64" t="s">
        <v>93</v>
      </c>
      <c r="G1" s="235" t="s">
        <v>94</v>
      </c>
      <c r="H1" s="236"/>
      <c r="I1" s="236"/>
      <c r="J1" s="237"/>
      <c r="K1" s="64" t="s">
        <v>93</v>
      </c>
      <c r="L1" s="64" t="s">
        <v>93</v>
      </c>
    </row>
    <row r="2" spans="1:17" ht="15.75" thickBot="1" x14ac:dyDescent="0.3">
      <c r="A2" s="64" t="s">
        <v>93</v>
      </c>
      <c r="B2" s="65" t="s">
        <v>95</v>
      </c>
      <c r="C2" s="64" t="s">
        <v>93</v>
      </c>
      <c r="D2" s="64" t="s">
        <v>93</v>
      </c>
      <c r="E2" s="64" t="s">
        <v>93</v>
      </c>
      <c r="F2" s="64" t="s">
        <v>93</v>
      </c>
      <c r="G2" s="65" t="s">
        <v>96</v>
      </c>
      <c r="H2" s="64" t="s">
        <v>93</v>
      </c>
      <c r="I2" s="64" t="s">
        <v>93</v>
      </c>
      <c r="J2" s="64" t="s">
        <v>93</v>
      </c>
      <c r="K2" s="64" t="s">
        <v>93</v>
      </c>
      <c r="L2" s="64" t="s">
        <v>93</v>
      </c>
    </row>
    <row r="3" spans="1:17" ht="15.75" thickBot="1" x14ac:dyDescent="0.3">
      <c r="A3" s="64" t="s">
        <v>93</v>
      </c>
      <c r="B3" s="66" t="s">
        <v>97</v>
      </c>
      <c r="C3" s="67">
        <v>2021</v>
      </c>
      <c r="D3" s="67">
        <v>2022</v>
      </c>
      <c r="E3" s="67" t="s">
        <v>98</v>
      </c>
      <c r="F3" s="64" t="s">
        <v>93</v>
      </c>
      <c r="G3" s="66" t="s">
        <v>99</v>
      </c>
      <c r="H3" s="67">
        <v>2021</v>
      </c>
      <c r="I3" s="67">
        <v>2022</v>
      </c>
      <c r="J3" s="67" t="s">
        <v>98</v>
      </c>
      <c r="K3" s="64" t="s">
        <v>93</v>
      </c>
      <c r="L3" s="64" t="s">
        <v>93</v>
      </c>
    </row>
    <row r="4" spans="1:17" x14ac:dyDescent="0.25">
      <c r="A4" s="64" t="s">
        <v>93</v>
      </c>
      <c r="B4" s="68" t="s">
        <v>100</v>
      </c>
      <c r="C4" s="69">
        <v>84.05</v>
      </c>
      <c r="D4" s="69">
        <v>67.239999999999995</v>
      </c>
      <c r="E4" s="70">
        <v>73.959999999999994</v>
      </c>
      <c r="F4" s="64" t="s">
        <v>93</v>
      </c>
      <c r="G4" s="68" t="s">
        <v>101</v>
      </c>
      <c r="H4" s="69">
        <v>377.98</v>
      </c>
      <c r="I4" s="69">
        <v>232.19</v>
      </c>
      <c r="J4" s="70">
        <v>341.66</v>
      </c>
      <c r="K4" s="64" t="s">
        <v>93</v>
      </c>
      <c r="L4" s="64" t="s">
        <v>93</v>
      </c>
    </row>
    <row r="5" spans="1:17" x14ac:dyDescent="0.25">
      <c r="A5" s="64" t="s">
        <v>93</v>
      </c>
      <c r="B5" s="68" t="s">
        <v>102</v>
      </c>
      <c r="C5" s="69">
        <v>24.29</v>
      </c>
      <c r="D5" s="69">
        <v>3</v>
      </c>
      <c r="E5" s="70">
        <v>29.29</v>
      </c>
      <c r="F5" s="64" t="s">
        <v>93</v>
      </c>
      <c r="G5" s="68" t="s">
        <v>103</v>
      </c>
      <c r="H5" s="69">
        <v>52.34</v>
      </c>
      <c r="I5" s="69">
        <v>32.15</v>
      </c>
      <c r="J5" s="70">
        <v>47.31</v>
      </c>
      <c r="K5" s="64" t="s">
        <v>93</v>
      </c>
      <c r="L5" s="64" t="s">
        <v>93</v>
      </c>
    </row>
    <row r="6" spans="1:17" x14ac:dyDescent="0.25">
      <c r="A6" s="64" t="s">
        <v>93</v>
      </c>
      <c r="B6" s="68" t="s">
        <v>104</v>
      </c>
      <c r="C6" s="69" t="s">
        <v>93</v>
      </c>
      <c r="D6" s="69"/>
      <c r="E6" s="70" t="s">
        <v>93</v>
      </c>
      <c r="F6" s="64" t="s">
        <v>93</v>
      </c>
      <c r="G6" s="68" t="s">
        <v>105</v>
      </c>
      <c r="H6" s="69">
        <v>58.15</v>
      </c>
      <c r="I6" s="69">
        <v>35.72</v>
      </c>
      <c r="J6" s="70">
        <v>52.56</v>
      </c>
      <c r="K6" s="64" t="s">
        <v>93</v>
      </c>
      <c r="L6" s="64" t="s">
        <v>93</v>
      </c>
    </row>
    <row r="7" spans="1:17" x14ac:dyDescent="0.25">
      <c r="A7" s="64" t="s">
        <v>93</v>
      </c>
      <c r="B7" s="68" t="s">
        <v>106</v>
      </c>
      <c r="C7" s="69">
        <v>3.76</v>
      </c>
      <c r="D7" s="71">
        <v>-2.16</v>
      </c>
      <c r="E7" s="72">
        <v>-1.82</v>
      </c>
      <c r="F7" s="64" t="s">
        <v>93</v>
      </c>
      <c r="G7" s="68" t="s">
        <v>107</v>
      </c>
      <c r="H7" s="69">
        <v>5.82</v>
      </c>
      <c r="I7" s="69">
        <v>3.57</v>
      </c>
      <c r="J7" s="70">
        <v>5.26</v>
      </c>
      <c r="K7" s="64" t="s">
        <v>93</v>
      </c>
      <c r="L7" s="64" t="s">
        <v>93</v>
      </c>
    </row>
    <row r="8" spans="1:17" x14ac:dyDescent="0.25">
      <c r="A8" s="64" t="s">
        <v>93</v>
      </c>
      <c r="B8" s="73" t="s">
        <v>108</v>
      </c>
      <c r="C8" s="74">
        <v>3.76</v>
      </c>
      <c r="D8" s="75">
        <v>-2.16</v>
      </c>
      <c r="E8" s="76">
        <v>-1.82</v>
      </c>
      <c r="F8" s="64" t="s">
        <v>93</v>
      </c>
      <c r="G8" s="68" t="s">
        <v>109</v>
      </c>
      <c r="H8" s="69">
        <v>29.08</v>
      </c>
      <c r="I8" s="69">
        <v>17.86</v>
      </c>
      <c r="J8" s="70">
        <v>26.28</v>
      </c>
      <c r="K8" s="64" t="s">
        <v>93</v>
      </c>
      <c r="L8" s="64" t="s">
        <v>93</v>
      </c>
    </row>
    <row r="9" spans="1:17" x14ac:dyDescent="0.25">
      <c r="A9" s="64" t="s">
        <v>93</v>
      </c>
      <c r="B9" s="68" t="s">
        <v>110</v>
      </c>
      <c r="C9" s="69">
        <v>2.52</v>
      </c>
      <c r="D9" s="69">
        <v>2.02</v>
      </c>
      <c r="E9" s="70">
        <v>2.2200000000000002</v>
      </c>
      <c r="F9" s="64" t="s">
        <v>93</v>
      </c>
      <c r="G9" s="68" t="s">
        <v>111</v>
      </c>
      <c r="H9" s="69">
        <v>58.15</v>
      </c>
      <c r="I9" s="69">
        <v>35.72</v>
      </c>
      <c r="J9" s="70">
        <v>52.56</v>
      </c>
      <c r="K9" s="64" t="s">
        <v>93</v>
      </c>
      <c r="L9" s="64" t="s">
        <v>93</v>
      </c>
    </row>
    <row r="10" spans="1:17" x14ac:dyDescent="0.25">
      <c r="A10" s="64" t="s">
        <v>93</v>
      </c>
      <c r="B10" s="68" t="s">
        <v>112</v>
      </c>
      <c r="C10" s="69">
        <v>1.68</v>
      </c>
      <c r="D10" s="69">
        <v>1.34</v>
      </c>
      <c r="E10" s="70">
        <v>1.48</v>
      </c>
      <c r="F10" s="64" t="s">
        <v>93</v>
      </c>
      <c r="G10" s="77" t="s">
        <v>113</v>
      </c>
      <c r="H10" s="74">
        <v>581.51</v>
      </c>
      <c r="I10" s="74">
        <v>357.22</v>
      </c>
      <c r="J10" s="78">
        <v>525.64</v>
      </c>
      <c r="K10" s="64" t="s">
        <v>93</v>
      </c>
      <c r="L10" s="64" t="s">
        <v>93</v>
      </c>
    </row>
    <row r="11" spans="1:17" ht="15.75" thickBot="1" x14ac:dyDescent="0.3">
      <c r="A11" s="64" t="s">
        <v>93</v>
      </c>
      <c r="B11" s="77" t="s">
        <v>0</v>
      </c>
      <c r="C11" s="74">
        <v>116.3</v>
      </c>
      <c r="D11" s="74">
        <v>71.44</v>
      </c>
      <c r="E11" s="78">
        <v>105.13</v>
      </c>
      <c r="F11" s="64" t="s">
        <v>93</v>
      </c>
      <c r="G11" s="68" t="s">
        <v>93</v>
      </c>
      <c r="H11" s="69" t="s">
        <v>93</v>
      </c>
      <c r="I11" s="69"/>
      <c r="J11" s="70" t="s">
        <v>93</v>
      </c>
      <c r="K11" s="64" t="s">
        <v>93</v>
      </c>
      <c r="L11" s="64" t="s">
        <v>93</v>
      </c>
    </row>
    <row r="12" spans="1:17" ht="15.75" thickBot="1" x14ac:dyDescent="0.3">
      <c r="A12" s="64" t="s">
        <v>93</v>
      </c>
      <c r="B12" s="68" t="s">
        <v>93</v>
      </c>
      <c r="C12" s="69" t="s">
        <v>93</v>
      </c>
      <c r="D12" s="69"/>
      <c r="E12" s="70" t="s">
        <v>93</v>
      </c>
      <c r="F12" s="64" t="s">
        <v>93</v>
      </c>
      <c r="G12" s="79" t="s">
        <v>114</v>
      </c>
      <c r="H12" s="69" t="s">
        <v>93</v>
      </c>
      <c r="I12" s="69"/>
      <c r="J12" s="70" t="s">
        <v>93</v>
      </c>
      <c r="K12" s="64" t="s">
        <v>93</v>
      </c>
      <c r="L12" s="64" t="s">
        <v>93</v>
      </c>
    </row>
    <row r="13" spans="1:17" ht="15.75" thickBot="1" x14ac:dyDescent="0.3">
      <c r="A13" s="64" t="s">
        <v>93</v>
      </c>
      <c r="B13" s="79" t="s">
        <v>115</v>
      </c>
      <c r="C13" s="69" t="s">
        <v>93</v>
      </c>
      <c r="D13" s="69"/>
      <c r="E13" s="70" t="s">
        <v>93</v>
      </c>
      <c r="F13" s="64" t="s">
        <v>93</v>
      </c>
      <c r="G13" s="68" t="s">
        <v>116</v>
      </c>
      <c r="H13" s="69">
        <v>37.369999999999997</v>
      </c>
      <c r="I13" s="69">
        <v>20.25</v>
      </c>
      <c r="J13" s="70">
        <v>27.82</v>
      </c>
      <c r="K13" s="64" t="s">
        <v>93</v>
      </c>
      <c r="L13" s="64" t="s">
        <v>93</v>
      </c>
    </row>
    <row r="14" spans="1:17" x14ac:dyDescent="0.25">
      <c r="A14" s="64" t="s">
        <v>93</v>
      </c>
      <c r="B14" s="68" t="s">
        <v>117</v>
      </c>
      <c r="C14" s="69" t="s">
        <v>93</v>
      </c>
      <c r="D14" s="69"/>
      <c r="E14" s="70" t="s">
        <v>93</v>
      </c>
      <c r="F14" s="64" t="s">
        <v>93</v>
      </c>
      <c r="G14" s="68" t="s">
        <v>118</v>
      </c>
      <c r="H14" s="69">
        <v>160.15</v>
      </c>
      <c r="I14" s="69">
        <v>86.8</v>
      </c>
      <c r="J14" s="70">
        <v>119.21</v>
      </c>
      <c r="K14" s="64" t="s">
        <v>93</v>
      </c>
      <c r="L14" s="64" t="s">
        <v>93</v>
      </c>
    </row>
    <row r="15" spans="1:17" ht="15.75" thickBot="1" x14ac:dyDescent="0.3">
      <c r="A15" s="64" t="s">
        <v>93</v>
      </c>
      <c r="B15" s="68" t="s">
        <v>119</v>
      </c>
      <c r="C15" s="69">
        <v>28.29</v>
      </c>
      <c r="D15" s="69">
        <v>22.63</v>
      </c>
      <c r="E15" s="70">
        <v>23.76</v>
      </c>
      <c r="F15" s="64" t="s">
        <v>93</v>
      </c>
      <c r="G15" s="68" t="s">
        <v>120</v>
      </c>
      <c r="H15" s="69">
        <v>74.14</v>
      </c>
      <c r="I15" s="69">
        <v>40.19</v>
      </c>
      <c r="J15" s="70">
        <v>55.19</v>
      </c>
      <c r="K15" s="64" t="s">
        <v>93</v>
      </c>
      <c r="L15" s="64" t="s">
        <v>93</v>
      </c>
    </row>
    <row r="16" spans="1:17" ht="14.45" customHeight="1" thickBot="1" x14ac:dyDescent="0.3">
      <c r="A16" s="64" t="s">
        <v>93</v>
      </c>
      <c r="B16" s="68" t="s">
        <v>121</v>
      </c>
      <c r="C16" s="69">
        <v>14.58</v>
      </c>
      <c r="D16" s="69">
        <v>1.8</v>
      </c>
      <c r="E16" s="70">
        <v>17.57</v>
      </c>
      <c r="F16" s="64" t="s">
        <v>93</v>
      </c>
      <c r="G16" s="68" t="s">
        <v>122</v>
      </c>
      <c r="H16" s="69">
        <v>13.05</v>
      </c>
      <c r="I16" s="69">
        <v>7.07</v>
      </c>
      <c r="J16" s="70">
        <v>9.7100000000000009</v>
      </c>
      <c r="K16" s="64" t="s">
        <v>93</v>
      </c>
      <c r="L16" s="64" t="s">
        <v>93</v>
      </c>
      <c r="M16" s="209"/>
      <c r="N16" s="206" t="s">
        <v>123</v>
      </c>
      <c r="O16" s="207">
        <v>2021</v>
      </c>
      <c r="P16" s="207">
        <v>2022</v>
      </c>
      <c r="Q16" s="208" t="s">
        <v>98</v>
      </c>
    </row>
    <row r="17" spans="1:17" ht="14.45" customHeight="1" x14ac:dyDescent="0.25">
      <c r="A17" s="64" t="s">
        <v>93</v>
      </c>
      <c r="B17" s="73" t="s">
        <v>1</v>
      </c>
      <c r="C17" s="74">
        <v>42.87</v>
      </c>
      <c r="D17" s="74">
        <v>24.43</v>
      </c>
      <c r="E17" s="80">
        <v>41.34</v>
      </c>
      <c r="F17" s="64" t="s">
        <v>93</v>
      </c>
      <c r="G17" s="68" t="s">
        <v>124</v>
      </c>
      <c r="H17" s="69">
        <v>11.86</v>
      </c>
      <c r="I17" s="69">
        <v>6.43</v>
      </c>
      <c r="J17" s="70">
        <v>8.83</v>
      </c>
      <c r="K17" s="64" t="s">
        <v>93</v>
      </c>
      <c r="L17" s="64" t="s">
        <v>93</v>
      </c>
      <c r="M17" s="238" t="s">
        <v>125</v>
      </c>
      <c r="N17" s="200" t="s">
        <v>126</v>
      </c>
      <c r="O17" s="202">
        <v>2.0408156103039237</v>
      </c>
      <c r="P17" s="202">
        <v>1.8181910724283608</v>
      </c>
      <c r="Q17" s="203">
        <v>1.7241447174205398</v>
      </c>
    </row>
    <row r="18" spans="1:17" x14ac:dyDescent="0.25">
      <c r="A18" s="64" t="s">
        <v>93</v>
      </c>
      <c r="B18" s="68" t="s">
        <v>2</v>
      </c>
      <c r="C18" s="69">
        <v>12.2</v>
      </c>
      <c r="D18" s="69">
        <v>9.76</v>
      </c>
      <c r="E18" s="70">
        <v>10.25</v>
      </c>
      <c r="F18" s="64" t="s">
        <v>93</v>
      </c>
      <c r="G18" s="77" t="s">
        <v>127</v>
      </c>
      <c r="H18" s="74">
        <v>296.57</v>
      </c>
      <c r="I18" s="74">
        <v>160.75</v>
      </c>
      <c r="J18" s="78">
        <v>220.77</v>
      </c>
      <c r="K18" s="64" t="s">
        <v>93</v>
      </c>
      <c r="L18" s="64" t="s">
        <v>93</v>
      </c>
      <c r="M18" s="239"/>
      <c r="N18" s="200" t="s">
        <v>128</v>
      </c>
      <c r="O18" s="202">
        <v>0.19999656067823426</v>
      </c>
      <c r="P18" s="202">
        <v>0.19998880241867753</v>
      </c>
      <c r="Q18" s="203">
        <v>0.20000380488547295</v>
      </c>
    </row>
    <row r="19" spans="1:17" ht="15.75" thickBot="1" x14ac:dyDescent="0.3">
      <c r="A19" s="64" t="s">
        <v>93</v>
      </c>
      <c r="B19" s="68" t="s">
        <v>129</v>
      </c>
      <c r="C19" s="69">
        <v>6.33</v>
      </c>
      <c r="D19" s="69">
        <v>3.43</v>
      </c>
      <c r="E19" s="70">
        <v>4.71</v>
      </c>
      <c r="F19" s="64" t="s">
        <v>93</v>
      </c>
      <c r="G19" s="68" t="s">
        <v>93</v>
      </c>
      <c r="H19" s="69" t="s">
        <v>93</v>
      </c>
      <c r="I19" s="69"/>
      <c r="J19" s="70" t="s">
        <v>93</v>
      </c>
      <c r="K19" s="64" t="s">
        <v>93</v>
      </c>
      <c r="L19" s="64" t="s">
        <v>93</v>
      </c>
      <c r="M19" s="240"/>
      <c r="N19" s="201" t="s">
        <v>130</v>
      </c>
      <c r="O19" s="204">
        <v>0.63138435081685307</v>
      </c>
      <c r="P19" s="204">
        <v>0.65803471444568873</v>
      </c>
      <c r="Q19" s="205">
        <v>0.6067725672976314</v>
      </c>
    </row>
    <row r="20" spans="1:17" ht="15.75" thickBot="1" x14ac:dyDescent="0.3">
      <c r="A20" s="64" t="s">
        <v>93</v>
      </c>
      <c r="B20" s="68" t="s">
        <v>131</v>
      </c>
      <c r="C20" s="69">
        <v>5.66</v>
      </c>
      <c r="D20" s="69">
        <v>5.52</v>
      </c>
      <c r="E20" s="70">
        <v>4.9000000000000004</v>
      </c>
      <c r="F20" s="64" t="s">
        <v>93</v>
      </c>
      <c r="G20" s="81" t="s">
        <v>132</v>
      </c>
      <c r="H20" s="82">
        <v>284.94</v>
      </c>
      <c r="I20" s="83">
        <v>196.47</v>
      </c>
      <c r="J20" s="84">
        <v>304.87</v>
      </c>
      <c r="K20" s="64" t="s">
        <v>93</v>
      </c>
      <c r="L20" s="64" t="s">
        <v>93</v>
      </c>
      <c r="M20" s="241" t="s">
        <v>34</v>
      </c>
      <c r="N20" s="200" t="s">
        <v>126</v>
      </c>
      <c r="O20" s="202">
        <v>2.2222072642093642</v>
      </c>
      <c r="P20" s="202">
        <v>2.325612772655723</v>
      </c>
      <c r="Q20" s="203">
        <v>2.3809353802213491</v>
      </c>
    </row>
    <row r="21" spans="1:17" x14ac:dyDescent="0.25">
      <c r="A21" s="64" t="s">
        <v>93</v>
      </c>
      <c r="B21" s="68" t="s">
        <v>133</v>
      </c>
      <c r="C21" s="71">
        <v>-11.58</v>
      </c>
      <c r="D21" s="69">
        <v>1.23</v>
      </c>
      <c r="E21" s="72">
        <v>-14.6</v>
      </c>
      <c r="F21" s="64" t="s">
        <v>93</v>
      </c>
      <c r="G21" s="85" t="s">
        <v>126</v>
      </c>
      <c r="H21" s="85">
        <f>H10/H20</f>
        <v>2.0408156103039237</v>
      </c>
      <c r="I21" s="85">
        <f t="shared" ref="I21:J21" si="0">I10/I20</f>
        <v>1.8181910724283608</v>
      </c>
      <c r="J21" s="85">
        <f t="shared" si="0"/>
        <v>1.7241447174205398</v>
      </c>
      <c r="K21" s="64" t="s">
        <v>93</v>
      </c>
      <c r="L21" s="64" t="s">
        <v>93</v>
      </c>
      <c r="M21" s="241"/>
      <c r="N21" s="200" t="s">
        <v>128</v>
      </c>
      <c r="O21" s="202">
        <v>0.19999999999999998</v>
      </c>
      <c r="P21" s="202">
        <v>0.19999999999999998</v>
      </c>
      <c r="Q21" s="203">
        <v>0.2</v>
      </c>
    </row>
    <row r="22" spans="1:17" ht="15.75" thickBot="1" x14ac:dyDescent="0.3">
      <c r="A22" s="64" t="s">
        <v>93</v>
      </c>
      <c r="B22" s="77" t="s">
        <v>134</v>
      </c>
      <c r="C22" s="74">
        <v>55.47</v>
      </c>
      <c r="D22" s="74">
        <v>44.38</v>
      </c>
      <c r="E22" s="78">
        <v>46.6</v>
      </c>
      <c r="F22" s="64" t="s">
        <v>93</v>
      </c>
      <c r="G22" s="85" t="s">
        <v>128</v>
      </c>
      <c r="H22" s="85">
        <f>C11/H10</f>
        <v>0.19999656067823426</v>
      </c>
      <c r="I22" s="85">
        <f t="shared" ref="I22:J22" si="1">D11/I10</f>
        <v>0.19998880241867753</v>
      </c>
      <c r="J22" s="85">
        <f t="shared" si="1"/>
        <v>0.20000380488547295</v>
      </c>
      <c r="K22" s="64" t="s">
        <v>93</v>
      </c>
      <c r="L22" s="64" t="s">
        <v>93</v>
      </c>
      <c r="M22" s="242"/>
      <c r="N22" s="201" t="s">
        <v>130</v>
      </c>
      <c r="O22" s="204">
        <v>0.72890288968316475</v>
      </c>
      <c r="P22" s="204">
        <v>0.66205762908528332</v>
      </c>
      <c r="Q22" s="205">
        <v>0.7192982456140351</v>
      </c>
    </row>
    <row r="23" spans="1:17" x14ac:dyDescent="0.25">
      <c r="A23" s="64" t="s">
        <v>93</v>
      </c>
      <c r="B23" s="68" t="s">
        <v>93</v>
      </c>
      <c r="C23" s="69"/>
      <c r="D23" s="69"/>
      <c r="E23" s="70" t="s">
        <v>93</v>
      </c>
      <c r="F23" s="64" t="s">
        <v>93</v>
      </c>
      <c r="G23" s="85" t="s">
        <v>130</v>
      </c>
      <c r="H23" s="85">
        <f>(C11-C17)/C11</f>
        <v>0.63138435081685307</v>
      </c>
      <c r="I23" s="85">
        <f t="shared" ref="I23:J23" si="2">(D11-D17)/D11</f>
        <v>0.65803471444568873</v>
      </c>
      <c r="J23" s="85">
        <f t="shared" si="2"/>
        <v>0.6067725672976314</v>
      </c>
      <c r="K23" s="64" t="s">
        <v>93</v>
      </c>
      <c r="L23" s="64" t="s">
        <v>93</v>
      </c>
    </row>
    <row r="24" spans="1:17" x14ac:dyDescent="0.25">
      <c r="A24" s="64" t="s">
        <v>93</v>
      </c>
      <c r="B24" s="68" t="s">
        <v>135</v>
      </c>
      <c r="C24" s="69">
        <v>60.83</v>
      </c>
      <c r="D24" s="69">
        <v>27.07</v>
      </c>
      <c r="E24" s="70">
        <v>58.53</v>
      </c>
      <c r="F24" s="64" t="s">
        <v>93</v>
      </c>
      <c r="G24" s="64" t="s">
        <v>93</v>
      </c>
      <c r="H24" s="64" t="s">
        <v>93</v>
      </c>
      <c r="I24" s="64" t="s">
        <v>93</v>
      </c>
      <c r="J24" s="64" t="s">
        <v>93</v>
      </c>
      <c r="K24" s="64" t="s">
        <v>93</v>
      </c>
      <c r="L24" s="64" t="s">
        <v>93</v>
      </c>
      <c r="N24" t="s">
        <v>93</v>
      </c>
      <c r="O24" t="s">
        <v>93</v>
      </c>
      <c r="P24" t="s">
        <v>93</v>
      </c>
      <c r="Q24" t="s">
        <v>93</v>
      </c>
    </row>
    <row r="25" spans="1:17" ht="15.75" thickBot="1" x14ac:dyDescent="0.3">
      <c r="A25" s="64" t="s">
        <v>93</v>
      </c>
      <c r="B25" s="68" t="s">
        <v>136</v>
      </c>
      <c r="C25" s="69">
        <v>8.33</v>
      </c>
      <c r="D25" s="69">
        <v>3.71</v>
      </c>
      <c r="E25" s="70">
        <v>8.02</v>
      </c>
      <c r="F25" s="64" t="s">
        <v>93</v>
      </c>
      <c r="G25" s="64" t="s">
        <v>93</v>
      </c>
      <c r="H25" s="64" t="s">
        <v>93</v>
      </c>
      <c r="I25" s="64" t="s">
        <v>93</v>
      </c>
      <c r="J25" s="64" t="s">
        <v>93</v>
      </c>
      <c r="K25" s="64" t="s">
        <v>93</v>
      </c>
      <c r="L25" s="64" t="s">
        <v>93</v>
      </c>
    </row>
    <row r="26" spans="1:17" ht="15.75" thickBot="1" x14ac:dyDescent="0.3">
      <c r="A26" s="64" t="s">
        <v>93</v>
      </c>
      <c r="B26" s="81" t="s">
        <v>137</v>
      </c>
      <c r="C26" s="82">
        <v>52.49</v>
      </c>
      <c r="D26" s="83">
        <v>23.36</v>
      </c>
      <c r="E26" s="84">
        <v>50.51</v>
      </c>
      <c r="F26" s="64" t="s">
        <v>93</v>
      </c>
      <c r="G26" s="64" t="s">
        <v>93</v>
      </c>
      <c r="H26" s="64" t="s">
        <v>93</v>
      </c>
      <c r="I26" s="64" t="s">
        <v>93</v>
      </c>
      <c r="J26" s="64" t="s">
        <v>93</v>
      </c>
      <c r="K26" s="64" t="s">
        <v>93</v>
      </c>
      <c r="L26" s="64" t="s">
        <v>93</v>
      </c>
    </row>
    <row r="27" spans="1:17" x14ac:dyDescent="0.25">
      <c r="A27" s="64" t="s">
        <v>93</v>
      </c>
      <c r="B27" s="64" t="s">
        <v>93</v>
      </c>
      <c r="C27" s="64" t="s">
        <v>93</v>
      </c>
      <c r="D27" s="64" t="s">
        <v>93</v>
      </c>
      <c r="E27" s="64" t="s">
        <v>93</v>
      </c>
      <c r="F27" s="64" t="s">
        <v>93</v>
      </c>
      <c r="G27" s="64" t="s">
        <v>93</v>
      </c>
      <c r="H27" s="64" t="s">
        <v>93</v>
      </c>
      <c r="I27" s="64" t="s">
        <v>93</v>
      </c>
      <c r="J27" s="64" t="s">
        <v>93</v>
      </c>
      <c r="K27" s="64" t="s">
        <v>93</v>
      </c>
      <c r="L27" s="64" t="s">
        <v>93</v>
      </c>
    </row>
    <row r="28" spans="1:17" x14ac:dyDescent="0.25">
      <c r="A28" s="64" t="s">
        <v>93</v>
      </c>
      <c r="B28" s="64" t="s">
        <v>93</v>
      </c>
      <c r="C28" s="64" t="s">
        <v>93</v>
      </c>
      <c r="D28" s="64" t="s">
        <v>93</v>
      </c>
      <c r="E28" s="64" t="s">
        <v>93</v>
      </c>
      <c r="F28" s="64" t="s">
        <v>93</v>
      </c>
      <c r="G28" s="64" t="s">
        <v>93</v>
      </c>
      <c r="H28" s="64" t="s">
        <v>93</v>
      </c>
      <c r="I28" s="64" t="s">
        <v>93</v>
      </c>
      <c r="J28" s="64" t="s">
        <v>93</v>
      </c>
      <c r="K28" s="64" t="s">
        <v>93</v>
      </c>
      <c r="L28" s="64" t="s">
        <v>93</v>
      </c>
    </row>
    <row r="29" spans="1:17" x14ac:dyDescent="0.25">
      <c r="A29" s="64" t="s">
        <v>93</v>
      </c>
      <c r="B29" s="64" t="s">
        <v>93</v>
      </c>
      <c r="C29" s="64" t="s">
        <v>93</v>
      </c>
      <c r="D29" s="64" t="s">
        <v>93</v>
      </c>
      <c r="E29" s="64" t="s">
        <v>93</v>
      </c>
      <c r="F29" s="64" t="s">
        <v>93</v>
      </c>
      <c r="G29" s="64" t="s">
        <v>93</v>
      </c>
      <c r="H29" s="64" t="s">
        <v>93</v>
      </c>
      <c r="I29" s="64" t="s">
        <v>93</v>
      </c>
      <c r="J29" s="64" t="s">
        <v>93</v>
      </c>
      <c r="K29" s="64" t="s">
        <v>93</v>
      </c>
      <c r="L29" s="64" t="s">
        <v>93</v>
      </c>
    </row>
    <row r="30" spans="1:17" x14ac:dyDescent="0.25">
      <c r="A30" s="64" t="s">
        <v>93</v>
      </c>
      <c r="B30" s="64" t="s">
        <v>93</v>
      </c>
      <c r="C30" s="64" t="s">
        <v>93</v>
      </c>
      <c r="D30" s="64" t="s">
        <v>93</v>
      </c>
      <c r="E30" s="64" t="s">
        <v>93</v>
      </c>
      <c r="F30" s="64" t="s">
        <v>93</v>
      </c>
      <c r="G30" s="64" t="s">
        <v>93</v>
      </c>
      <c r="H30" s="64" t="s">
        <v>93</v>
      </c>
      <c r="I30" s="64" t="s">
        <v>93</v>
      </c>
      <c r="J30" s="64" t="s">
        <v>93</v>
      </c>
      <c r="K30" s="64" t="s">
        <v>93</v>
      </c>
      <c r="L30" s="64" t="s">
        <v>93</v>
      </c>
    </row>
    <row r="31" spans="1:17" x14ac:dyDescent="0.25">
      <c r="A31" s="64" t="s">
        <v>93</v>
      </c>
      <c r="B31" s="64" t="s">
        <v>93</v>
      </c>
      <c r="C31" s="64" t="s">
        <v>93</v>
      </c>
      <c r="D31" s="64" t="s">
        <v>93</v>
      </c>
      <c r="E31" s="64" t="s">
        <v>93</v>
      </c>
      <c r="F31" s="64" t="s">
        <v>93</v>
      </c>
      <c r="G31" s="64" t="s">
        <v>93</v>
      </c>
      <c r="H31" s="64" t="s">
        <v>93</v>
      </c>
      <c r="I31" s="64" t="s">
        <v>93</v>
      </c>
      <c r="J31" s="64" t="s">
        <v>93</v>
      </c>
      <c r="K31" s="64" t="s">
        <v>93</v>
      </c>
      <c r="L31" s="64" t="s">
        <v>93</v>
      </c>
    </row>
    <row r="32" spans="1:17" ht="15.75" thickBot="1" x14ac:dyDescent="0.3">
      <c r="A32" s="64" t="s">
        <v>93</v>
      </c>
      <c r="B32" s="64" t="s">
        <v>93</v>
      </c>
      <c r="C32" s="64" t="s">
        <v>93</v>
      </c>
      <c r="D32" s="64" t="s">
        <v>93</v>
      </c>
      <c r="E32" s="64" t="s">
        <v>93</v>
      </c>
      <c r="F32" s="64" t="s">
        <v>93</v>
      </c>
      <c r="G32" s="64" t="s">
        <v>93</v>
      </c>
      <c r="H32" s="64" t="s">
        <v>93</v>
      </c>
      <c r="I32" s="64" t="s">
        <v>93</v>
      </c>
      <c r="J32" s="64" t="s">
        <v>93</v>
      </c>
      <c r="K32" s="64" t="s">
        <v>93</v>
      </c>
      <c r="L32" s="64" t="s">
        <v>93</v>
      </c>
    </row>
    <row r="33" spans="2:10" ht="15.75" thickBot="1" x14ac:dyDescent="0.3">
      <c r="B33" s="86" t="s">
        <v>138</v>
      </c>
      <c r="C33" s="64" t="s">
        <v>93</v>
      </c>
    </row>
    <row r="34" spans="2:10" x14ac:dyDescent="0.25">
      <c r="B34" s="87" t="s">
        <v>79</v>
      </c>
      <c r="C34" s="88">
        <v>3.95E-2</v>
      </c>
      <c r="J34">
        <f>J20+J18-SUM(J5:J6)</f>
        <v>425.77</v>
      </c>
    </row>
    <row r="35" spans="2:10" x14ac:dyDescent="0.25">
      <c r="B35" s="68" t="s">
        <v>80</v>
      </c>
      <c r="C35" s="89">
        <v>0.13700000000000001</v>
      </c>
      <c r="E35" s="90">
        <v>0.1</v>
      </c>
      <c r="F35" s="91" t="s">
        <v>139</v>
      </c>
      <c r="J35">
        <f>J34/E11</f>
        <v>4.0499381717873106</v>
      </c>
    </row>
    <row r="36" spans="2:10" x14ac:dyDescent="0.25">
      <c r="B36" s="68" t="s">
        <v>81</v>
      </c>
      <c r="C36" s="89">
        <v>4.4999999999999998E-2</v>
      </c>
      <c r="E36" s="90">
        <v>0.3</v>
      </c>
      <c r="F36" s="91" t="s">
        <v>140</v>
      </c>
    </row>
    <row r="37" spans="2:10" x14ac:dyDescent="0.25">
      <c r="B37" s="68" t="s">
        <v>82</v>
      </c>
      <c r="C37" s="89">
        <v>3.2500000000000001E-2</v>
      </c>
      <c r="E37" s="90">
        <v>0.75</v>
      </c>
      <c r="F37" s="91" t="s">
        <v>141</v>
      </c>
    </row>
    <row r="38" spans="2:10" x14ac:dyDescent="0.25">
      <c r="B38" s="68" t="s">
        <v>83</v>
      </c>
      <c r="C38" s="89">
        <v>4.4999999999999998E-2</v>
      </c>
      <c r="E38" s="90">
        <v>-0.05</v>
      </c>
      <c r="F38" s="91" t="s">
        <v>142</v>
      </c>
    </row>
    <row r="39" spans="2:10" ht="15.75" thickBot="1" x14ac:dyDescent="0.3">
      <c r="B39" s="92" t="s">
        <v>47</v>
      </c>
      <c r="C39" s="93" t="s">
        <v>93</v>
      </c>
    </row>
    <row r="42" spans="2:10" ht="15.75" thickBot="1" x14ac:dyDescent="0.3">
      <c r="B42" s="65" t="s">
        <v>95</v>
      </c>
      <c r="C42" s="64" t="s">
        <v>93</v>
      </c>
      <c r="D42" s="64" t="s">
        <v>93</v>
      </c>
      <c r="E42" s="64" t="s">
        <v>93</v>
      </c>
      <c r="F42" s="64" t="s">
        <v>93</v>
      </c>
      <c r="G42" s="65" t="s">
        <v>96</v>
      </c>
      <c r="H42" s="64" t="s">
        <v>93</v>
      </c>
      <c r="I42" s="64" t="s">
        <v>93</v>
      </c>
      <c r="J42" s="64" t="s">
        <v>93</v>
      </c>
    </row>
    <row r="43" spans="2:10" ht="15.75" thickBot="1" x14ac:dyDescent="0.3">
      <c r="B43" s="66" t="s">
        <v>97</v>
      </c>
      <c r="C43" s="67">
        <v>2021</v>
      </c>
      <c r="D43" s="67">
        <v>2022</v>
      </c>
      <c r="E43" s="67" t="s">
        <v>98</v>
      </c>
      <c r="F43" s="64" t="s">
        <v>93</v>
      </c>
      <c r="G43" s="66" t="s">
        <v>99</v>
      </c>
      <c r="H43" s="67">
        <v>2021</v>
      </c>
      <c r="I43" s="67">
        <v>2022</v>
      </c>
      <c r="J43" s="67" t="s">
        <v>98</v>
      </c>
    </row>
    <row r="44" spans="2:10" x14ac:dyDescent="0.25">
      <c r="B44" s="68" t="s">
        <v>100</v>
      </c>
      <c r="C44" s="94">
        <f>(C4+(C4*$E$38))</f>
        <v>79.847499999999997</v>
      </c>
      <c r="D44" s="94">
        <f t="shared" ref="D44:E44" si="3">(D4+(D4*$E$38))</f>
        <v>63.877999999999993</v>
      </c>
      <c r="E44" s="94">
        <f t="shared" si="3"/>
        <v>70.262</v>
      </c>
      <c r="F44" s="64" t="s">
        <v>93</v>
      </c>
      <c r="G44" s="68" t="s">
        <v>101</v>
      </c>
      <c r="H44" s="69">
        <v>377.98</v>
      </c>
      <c r="I44" s="69">
        <v>232.19</v>
      </c>
      <c r="J44" s="70">
        <v>341.66</v>
      </c>
    </row>
    <row r="45" spans="2:10" x14ac:dyDescent="0.25">
      <c r="B45" s="68" t="s">
        <v>102</v>
      </c>
      <c r="C45" s="69">
        <v>24.29</v>
      </c>
      <c r="D45" s="69">
        <v>3</v>
      </c>
      <c r="E45" s="70">
        <v>29.29</v>
      </c>
      <c r="F45" s="64" t="s">
        <v>93</v>
      </c>
      <c r="G45" s="68" t="s">
        <v>103</v>
      </c>
      <c r="H45" s="69">
        <v>52.34</v>
      </c>
      <c r="I45" s="69">
        <v>32.15</v>
      </c>
      <c r="J45" s="70">
        <v>47.31</v>
      </c>
    </row>
    <row r="46" spans="2:10" x14ac:dyDescent="0.25">
      <c r="B46" s="68" t="s">
        <v>104</v>
      </c>
      <c r="C46" s="69" t="s">
        <v>93</v>
      </c>
      <c r="D46" s="69"/>
      <c r="E46" s="70" t="s">
        <v>93</v>
      </c>
      <c r="F46" s="64" t="s">
        <v>93</v>
      </c>
      <c r="G46" s="68" t="s">
        <v>105</v>
      </c>
      <c r="H46" s="69">
        <v>58.15</v>
      </c>
      <c r="I46" s="69">
        <v>35.72</v>
      </c>
      <c r="J46" s="70">
        <v>52.56</v>
      </c>
    </row>
    <row r="47" spans="2:10" x14ac:dyDescent="0.25">
      <c r="B47" s="68" t="s">
        <v>106</v>
      </c>
      <c r="C47" s="69"/>
      <c r="D47" s="71"/>
      <c r="E47" s="72"/>
      <c r="F47" s="64" t="s">
        <v>93</v>
      </c>
      <c r="G47" s="68" t="s">
        <v>107</v>
      </c>
      <c r="H47" s="69">
        <v>5.82</v>
      </c>
      <c r="I47" s="69">
        <v>3.57</v>
      </c>
      <c r="J47" s="70">
        <v>5.26</v>
      </c>
    </row>
    <row r="48" spans="2:10" x14ac:dyDescent="0.25">
      <c r="B48" s="73" t="s">
        <v>108</v>
      </c>
      <c r="C48" s="74">
        <v>3.76</v>
      </c>
      <c r="D48" s="75">
        <v>-2.16</v>
      </c>
      <c r="E48" s="76">
        <v>-1.82</v>
      </c>
      <c r="F48" s="64" t="s">
        <v>93</v>
      </c>
      <c r="G48" s="68" t="s">
        <v>109</v>
      </c>
      <c r="H48" s="69">
        <v>29.08</v>
      </c>
      <c r="I48" s="69">
        <v>17.86</v>
      </c>
      <c r="J48" s="70">
        <v>26.28</v>
      </c>
    </row>
    <row r="49" spans="2:10" x14ac:dyDescent="0.25">
      <c r="B49" s="68" t="s">
        <v>110</v>
      </c>
      <c r="C49" s="69">
        <v>2.52</v>
      </c>
      <c r="D49" s="69">
        <v>2.02</v>
      </c>
      <c r="E49" s="70">
        <v>2.2200000000000002</v>
      </c>
      <c r="F49" s="64" t="s">
        <v>93</v>
      </c>
      <c r="G49" s="68" t="s">
        <v>111</v>
      </c>
      <c r="H49" s="69">
        <v>58.15</v>
      </c>
      <c r="I49" s="69">
        <v>35.72</v>
      </c>
      <c r="J49" s="70">
        <v>52.56</v>
      </c>
    </row>
    <row r="50" spans="2:10" x14ac:dyDescent="0.25">
      <c r="B50" s="68" t="s">
        <v>112</v>
      </c>
      <c r="C50" s="69">
        <v>1.68</v>
      </c>
      <c r="D50" s="69">
        <v>1.34</v>
      </c>
      <c r="E50" s="70">
        <v>1.48</v>
      </c>
      <c r="F50" s="64" t="s">
        <v>93</v>
      </c>
      <c r="G50" s="77" t="s">
        <v>113</v>
      </c>
      <c r="H50" s="74">
        <v>581.51</v>
      </c>
      <c r="I50" s="74">
        <v>357.22</v>
      </c>
      <c r="J50" s="78">
        <v>525.64</v>
      </c>
    </row>
    <row r="51" spans="2:10" ht="15.75" thickBot="1" x14ac:dyDescent="0.3">
      <c r="B51" s="77" t="s">
        <v>0</v>
      </c>
      <c r="C51" s="74">
        <f>SUM(C44:C50)</f>
        <v>112.0975</v>
      </c>
      <c r="D51" s="74">
        <f>SUM(D44:D50)</f>
        <v>68.077999999999989</v>
      </c>
      <c r="E51" s="74">
        <f>SUM(E44:E50)</f>
        <v>101.432</v>
      </c>
      <c r="F51" s="64" t="s">
        <v>93</v>
      </c>
      <c r="G51" s="68" t="s">
        <v>93</v>
      </c>
      <c r="H51" s="69" t="s">
        <v>93</v>
      </c>
      <c r="I51" s="69"/>
      <c r="J51" s="70" t="s">
        <v>93</v>
      </c>
    </row>
    <row r="52" spans="2:10" ht="15.75" thickBot="1" x14ac:dyDescent="0.3">
      <c r="B52" s="68" t="s">
        <v>93</v>
      </c>
      <c r="C52" s="69" t="s">
        <v>93</v>
      </c>
      <c r="D52" s="69"/>
      <c r="E52" s="70" t="s">
        <v>93</v>
      </c>
      <c r="F52" s="64" t="s">
        <v>93</v>
      </c>
      <c r="G52" s="79" t="s">
        <v>114</v>
      </c>
      <c r="H52" s="69" t="s">
        <v>93</v>
      </c>
      <c r="I52" s="69"/>
      <c r="J52" s="70" t="s">
        <v>93</v>
      </c>
    </row>
    <row r="53" spans="2:10" ht="15.75" thickBot="1" x14ac:dyDescent="0.3">
      <c r="B53" s="79" t="s">
        <v>115</v>
      </c>
      <c r="C53" s="69" t="s">
        <v>93</v>
      </c>
      <c r="D53" s="69"/>
      <c r="E53" s="70" t="s">
        <v>93</v>
      </c>
      <c r="F53" s="64" t="s">
        <v>93</v>
      </c>
      <c r="G53" s="68" t="s">
        <v>116</v>
      </c>
      <c r="H53" s="69">
        <v>37.369999999999997</v>
      </c>
      <c r="I53" s="69">
        <v>20.25</v>
      </c>
      <c r="J53" s="70">
        <v>27.82</v>
      </c>
    </row>
    <row r="54" spans="2:10" x14ac:dyDescent="0.25">
      <c r="B54" s="68" t="s">
        <v>117</v>
      </c>
      <c r="C54" s="69" t="s">
        <v>93</v>
      </c>
      <c r="D54" s="69"/>
      <c r="E54" s="70" t="s">
        <v>93</v>
      </c>
      <c r="F54" s="64" t="s">
        <v>93</v>
      </c>
      <c r="G54" s="68" t="s">
        <v>118</v>
      </c>
      <c r="H54" s="69">
        <v>160.15</v>
      </c>
      <c r="I54" s="69">
        <v>86.8</v>
      </c>
      <c r="J54" s="70">
        <v>119.21</v>
      </c>
    </row>
    <row r="55" spans="2:10" x14ac:dyDescent="0.25">
      <c r="B55" s="68" t="s">
        <v>119</v>
      </c>
      <c r="C55" s="94">
        <f>C15-(C15*$E$35*$E$37)</f>
        <v>26.16825</v>
      </c>
      <c r="D55" s="94">
        <f>D15-(D15*$E$35*$E$37)</f>
        <v>20.932749999999999</v>
      </c>
      <c r="E55" s="94">
        <f>E15-(E15*$E$35*$E$37)</f>
        <v>21.978000000000002</v>
      </c>
      <c r="F55" s="64" t="s">
        <v>93</v>
      </c>
      <c r="G55" s="68" t="s">
        <v>120</v>
      </c>
      <c r="H55" s="69">
        <v>74.14</v>
      </c>
      <c r="I55" s="69">
        <v>40.19</v>
      </c>
      <c r="J55" s="70">
        <v>55.19</v>
      </c>
    </row>
    <row r="56" spans="2:10" x14ac:dyDescent="0.25">
      <c r="B56" s="68" t="s">
        <v>121</v>
      </c>
      <c r="C56" s="69">
        <v>14.58</v>
      </c>
      <c r="D56" s="69">
        <v>1.8</v>
      </c>
      <c r="E56" s="70">
        <v>17.57</v>
      </c>
      <c r="F56" s="64" t="s">
        <v>93</v>
      </c>
      <c r="G56" s="68" t="s">
        <v>122</v>
      </c>
      <c r="H56" s="69">
        <v>13.05</v>
      </c>
      <c r="I56" s="69">
        <v>7.07</v>
      </c>
      <c r="J56" s="70">
        <v>9.7100000000000009</v>
      </c>
    </row>
    <row r="57" spans="2:10" x14ac:dyDescent="0.25">
      <c r="B57" s="73" t="s">
        <v>1</v>
      </c>
      <c r="C57" s="74">
        <f>SUM(C54:C56)</f>
        <v>40.748249999999999</v>
      </c>
      <c r="D57" s="74">
        <f t="shared" ref="D57:E57" si="4">SUM(D54:D56)</f>
        <v>22.732749999999999</v>
      </c>
      <c r="E57" s="74">
        <f t="shared" si="4"/>
        <v>39.548000000000002</v>
      </c>
      <c r="F57" s="64" t="s">
        <v>93</v>
      </c>
      <c r="G57" s="68" t="s">
        <v>124</v>
      </c>
      <c r="H57" s="69">
        <v>11.86</v>
      </c>
      <c r="I57" s="69">
        <v>6.43</v>
      </c>
      <c r="J57" s="70">
        <v>8.83</v>
      </c>
    </row>
    <row r="58" spans="2:10" x14ac:dyDescent="0.25">
      <c r="B58" s="68" t="s">
        <v>2</v>
      </c>
      <c r="C58" s="94">
        <f>C18-(C18*$E$36*$E$37)</f>
        <v>9.4550000000000001</v>
      </c>
      <c r="D58" s="94">
        <f>D18-(D18*$E$36*$E$37)</f>
        <v>7.5640000000000001</v>
      </c>
      <c r="E58" s="94">
        <f>E18-(E18*$E$36*$E$37)</f>
        <v>7.9437499999999996</v>
      </c>
      <c r="F58" s="64" t="s">
        <v>93</v>
      </c>
      <c r="G58" s="77" t="s">
        <v>127</v>
      </c>
      <c r="H58" s="74">
        <v>296.57</v>
      </c>
      <c r="I58" s="74">
        <v>160.75</v>
      </c>
      <c r="J58" s="78">
        <v>220.77</v>
      </c>
    </row>
    <row r="59" spans="2:10" ht="15.75" thickBot="1" x14ac:dyDescent="0.3">
      <c r="B59" s="68" t="s">
        <v>129</v>
      </c>
      <c r="C59" s="69">
        <v>6.33</v>
      </c>
      <c r="D59" s="69">
        <v>3.43</v>
      </c>
      <c r="E59" s="70">
        <v>4.71</v>
      </c>
      <c r="F59" s="64" t="s">
        <v>93</v>
      </c>
      <c r="G59" s="68" t="s">
        <v>93</v>
      </c>
      <c r="H59" s="69" t="s">
        <v>93</v>
      </c>
      <c r="I59" s="69"/>
      <c r="J59" s="70" t="s">
        <v>93</v>
      </c>
    </row>
    <row r="60" spans="2:10" ht="15.75" thickBot="1" x14ac:dyDescent="0.3">
      <c r="B60" s="68" t="s">
        <v>131</v>
      </c>
      <c r="C60" s="69">
        <v>5.66</v>
      </c>
      <c r="D60" s="69">
        <v>5.52</v>
      </c>
      <c r="E60" s="70">
        <v>4.9000000000000004</v>
      </c>
      <c r="F60" s="64" t="s">
        <v>93</v>
      </c>
      <c r="G60" s="81" t="s">
        <v>132</v>
      </c>
      <c r="H60" s="82">
        <v>284.94</v>
      </c>
      <c r="I60" s="83">
        <v>196.47</v>
      </c>
      <c r="J60" s="84">
        <v>304.87</v>
      </c>
    </row>
    <row r="61" spans="2:10" x14ac:dyDescent="0.25">
      <c r="B61" s="68" t="s">
        <v>133</v>
      </c>
      <c r="C61" s="71">
        <v>-11.58</v>
      </c>
      <c r="D61" s="69">
        <v>1.23</v>
      </c>
      <c r="E61" s="72">
        <v>-14.6</v>
      </c>
      <c r="F61" s="64" t="s">
        <v>93</v>
      </c>
      <c r="G61" s="64" t="s">
        <v>126</v>
      </c>
      <c r="H61" s="64">
        <f>H50/H60</f>
        <v>2.0408156103039237</v>
      </c>
      <c r="I61" s="64">
        <f t="shared" ref="I61:J61" si="5">I50/I60</f>
        <v>1.8181910724283608</v>
      </c>
      <c r="J61" s="64">
        <f t="shared" si="5"/>
        <v>1.7241447174205398</v>
      </c>
    </row>
    <row r="62" spans="2:10" x14ac:dyDescent="0.25">
      <c r="B62" s="77" t="s">
        <v>134</v>
      </c>
      <c r="C62" s="74">
        <v>55.47</v>
      </c>
      <c r="D62" s="74">
        <v>44.38</v>
      </c>
      <c r="E62" s="78">
        <v>46.6</v>
      </c>
      <c r="F62" s="64" t="s">
        <v>93</v>
      </c>
      <c r="G62" s="64" t="s">
        <v>93</v>
      </c>
      <c r="H62" s="64" t="s">
        <v>93</v>
      </c>
      <c r="I62" s="64" t="s">
        <v>93</v>
      </c>
      <c r="J62" s="64" t="s">
        <v>93</v>
      </c>
    </row>
    <row r="63" spans="2:10" x14ac:dyDescent="0.25">
      <c r="B63" s="68" t="s">
        <v>93</v>
      </c>
      <c r="C63" s="69" t="s">
        <v>93</v>
      </c>
      <c r="D63" s="69"/>
      <c r="E63" s="70" t="s">
        <v>93</v>
      </c>
      <c r="F63" s="64" t="s">
        <v>93</v>
      </c>
      <c r="G63" s="64" t="s">
        <v>93</v>
      </c>
      <c r="H63" s="64" t="s">
        <v>93</v>
      </c>
      <c r="I63" s="64" t="s">
        <v>93</v>
      </c>
      <c r="J63" s="64" t="s">
        <v>93</v>
      </c>
    </row>
    <row r="64" spans="2:10" x14ac:dyDescent="0.25">
      <c r="B64" s="68" t="s">
        <v>135</v>
      </c>
      <c r="C64" s="69">
        <v>60.83</v>
      </c>
      <c r="D64" s="69">
        <v>27.07</v>
      </c>
      <c r="E64" s="70">
        <v>58.53</v>
      </c>
      <c r="F64" s="64" t="s">
        <v>93</v>
      </c>
      <c r="G64" s="64" t="s">
        <v>93</v>
      </c>
      <c r="H64" s="64" t="s">
        <v>93</v>
      </c>
      <c r="I64" s="64" t="s">
        <v>93</v>
      </c>
      <c r="J64" s="64" t="s">
        <v>93</v>
      </c>
    </row>
    <row r="65" spans="2:10" ht="15.75" thickBot="1" x14ac:dyDescent="0.3">
      <c r="B65" s="68" t="s">
        <v>136</v>
      </c>
      <c r="C65" s="69">
        <v>8.33</v>
      </c>
      <c r="D65" s="69">
        <v>3.71</v>
      </c>
      <c r="E65" s="70">
        <v>8.02</v>
      </c>
      <c r="F65" s="64" t="s">
        <v>93</v>
      </c>
      <c r="G65" s="64" t="s">
        <v>93</v>
      </c>
      <c r="H65" s="64" t="s">
        <v>93</v>
      </c>
      <c r="I65" s="64" t="s">
        <v>93</v>
      </c>
      <c r="J65" s="64" t="s">
        <v>93</v>
      </c>
    </row>
    <row r="66" spans="2:10" ht="15.75" thickBot="1" x14ac:dyDescent="0.3">
      <c r="B66" s="81" t="s">
        <v>137</v>
      </c>
      <c r="C66" s="82">
        <v>52.49</v>
      </c>
      <c r="D66" s="83">
        <v>23.36</v>
      </c>
      <c r="E66" s="84">
        <v>50.51</v>
      </c>
      <c r="F66" s="64" t="s">
        <v>93</v>
      </c>
      <c r="G66" s="64" t="s">
        <v>93</v>
      </c>
      <c r="H66" s="64" t="s">
        <v>93</v>
      </c>
      <c r="I66" s="64" t="s">
        <v>93</v>
      </c>
      <c r="J66" s="64" t="s">
        <v>93</v>
      </c>
    </row>
    <row r="69" spans="2:10" x14ac:dyDescent="0.25">
      <c r="B69" s="77" t="s">
        <v>0</v>
      </c>
      <c r="C69" s="74">
        <f>C51*1000000</f>
        <v>112097500</v>
      </c>
      <c r="D69" s="74">
        <f t="shared" ref="D69:E69" si="6">D51*1000000</f>
        <v>68077999.999999985</v>
      </c>
      <c r="E69" s="74">
        <f t="shared" si="6"/>
        <v>101432000</v>
      </c>
    </row>
    <row r="70" spans="2:10" x14ac:dyDescent="0.25">
      <c r="B70" s="73" t="s">
        <v>1</v>
      </c>
      <c r="C70" s="74">
        <f>C57*1000000</f>
        <v>40748250</v>
      </c>
      <c r="D70" s="74">
        <f t="shared" ref="D70:E71" si="7">D57*1000000</f>
        <v>22732750</v>
      </c>
      <c r="E70" s="74">
        <f t="shared" si="7"/>
        <v>39548000</v>
      </c>
    </row>
    <row r="71" spans="2:10" x14ac:dyDescent="0.25">
      <c r="B71" s="68" t="s">
        <v>2</v>
      </c>
      <c r="C71" s="94">
        <f>C58*1000000</f>
        <v>9455000</v>
      </c>
      <c r="D71" s="94">
        <f t="shared" si="7"/>
        <v>7564000</v>
      </c>
      <c r="E71" s="94">
        <f t="shared" si="7"/>
        <v>7943750</v>
      </c>
    </row>
    <row r="72" spans="2:10" x14ac:dyDescent="0.25">
      <c r="B72" t="s">
        <v>143</v>
      </c>
      <c r="C72">
        <f>SUM(C59:C61)*1000000</f>
        <v>410000.00000000012</v>
      </c>
      <c r="D72">
        <f>SUM(D59:D61)*1000000</f>
        <v>10180000</v>
      </c>
      <c r="E72">
        <f>SUM(E59:E61)*1000000</f>
        <v>-4990000</v>
      </c>
    </row>
  </sheetData>
  <mergeCells count="4">
    <mergeCell ref="B1:E1"/>
    <mergeCell ref="G1:J1"/>
    <mergeCell ref="M17:M19"/>
    <mergeCell ref="M20:M2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B2516-0600-481D-885F-3E22CED5CAE5}">
  <dimension ref="A1:P72"/>
  <sheetViews>
    <sheetView topLeftCell="F1" zoomScale="69" workbookViewId="0">
      <selection activeCell="G21" sqref="G21:J24"/>
    </sheetView>
  </sheetViews>
  <sheetFormatPr defaultRowHeight="15" x14ac:dyDescent="0.25"/>
  <cols>
    <col min="1" max="2" width="28.85546875" customWidth="1"/>
    <col min="3" max="3" width="10.28515625" customWidth="1"/>
    <col min="4" max="4" width="12.5703125" customWidth="1"/>
    <col min="5" max="5" width="17.5703125" customWidth="1"/>
    <col min="6" max="7" width="28.85546875" customWidth="1"/>
    <col min="8" max="8" width="14" customWidth="1"/>
    <col min="9" max="9" width="14.5703125" customWidth="1"/>
    <col min="10" max="10" width="17.5703125" customWidth="1"/>
    <col min="11" max="11" width="7.28515625" customWidth="1"/>
    <col min="12" max="12" width="6.5703125" customWidth="1"/>
    <col min="13" max="13" width="16.7109375" customWidth="1"/>
  </cols>
  <sheetData>
    <row r="1" spans="1:16" ht="15.75" thickBot="1" x14ac:dyDescent="0.3">
      <c r="A1" s="64" t="s">
        <v>93</v>
      </c>
      <c r="B1" s="235" t="s">
        <v>94</v>
      </c>
      <c r="C1" s="236"/>
      <c r="D1" s="236"/>
      <c r="E1" s="237"/>
      <c r="F1" s="64" t="s">
        <v>93</v>
      </c>
      <c r="G1" s="235" t="s">
        <v>94</v>
      </c>
      <c r="H1" s="236"/>
      <c r="I1" s="236"/>
      <c r="J1" s="237"/>
      <c r="K1" s="64" t="s">
        <v>93</v>
      </c>
      <c r="L1" s="64" t="s">
        <v>93</v>
      </c>
    </row>
    <row r="2" spans="1:16" ht="15.75" thickBot="1" x14ac:dyDescent="0.3">
      <c r="A2" s="64" t="s">
        <v>93</v>
      </c>
      <c r="B2" s="65" t="s">
        <v>95</v>
      </c>
      <c r="C2" s="64" t="s">
        <v>93</v>
      </c>
      <c r="D2" s="64" t="s">
        <v>93</v>
      </c>
      <c r="E2" s="64" t="s">
        <v>93</v>
      </c>
      <c r="F2" s="64" t="s">
        <v>93</v>
      </c>
      <c r="G2" s="65" t="s">
        <v>96</v>
      </c>
      <c r="H2" s="64" t="s">
        <v>93</v>
      </c>
      <c r="I2" s="64" t="s">
        <v>93</v>
      </c>
      <c r="J2" s="64" t="s">
        <v>93</v>
      </c>
      <c r="K2" s="64" t="s">
        <v>93</v>
      </c>
      <c r="L2" s="64" t="s">
        <v>93</v>
      </c>
    </row>
    <row r="3" spans="1:16" ht="15.75" thickBot="1" x14ac:dyDescent="0.3">
      <c r="A3" s="64" t="s">
        <v>93</v>
      </c>
      <c r="B3" s="66" t="s">
        <v>97</v>
      </c>
      <c r="C3" s="67">
        <v>2021</v>
      </c>
      <c r="D3" s="67">
        <v>2022</v>
      </c>
      <c r="E3" s="67" t="s">
        <v>98</v>
      </c>
      <c r="F3" s="64" t="s">
        <v>93</v>
      </c>
      <c r="G3" s="66" t="s">
        <v>99</v>
      </c>
      <c r="H3" s="67">
        <v>2021</v>
      </c>
      <c r="I3" s="67">
        <v>2022</v>
      </c>
      <c r="J3" s="67" t="s">
        <v>98</v>
      </c>
      <c r="K3" s="64" t="s">
        <v>93</v>
      </c>
      <c r="L3" s="64" t="s">
        <v>93</v>
      </c>
    </row>
    <row r="4" spans="1:16" x14ac:dyDescent="0.25">
      <c r="A4" s="64" t="s">
        <v>93</v>
      </c>
      <c r="B4" s="68" t="s">
        <v>100</v>
      </c>
      <c r="C4" s="69">
        <v>144.5</v>
      </c>
      <c r="D4" s="69">
        <v>91.95</v>
      </c>
      <c r="E4" s="70">
        <v>117.32</v>
      </c>
      <c r="F4" s="64" t="s">
        <v>93</v>
      </c>
      <c r="G4" s="68" t="s">
        <v>101</v>
      </c>
      <c r="H4" s="69">
        <v>536.48</v>
      </c>
      <c r="I4" s="69">
        <v>336.12</v>
      </c>
      <c r="J4" s="70">
        <v>433.48</v>
      </c>
      <c r="K4" s="64" t="s">
        <v>93</v>
      </c>
      <c r="L4" s="64" t="s">
        <v>93</v>
      </c>
    </row>
    <row r="5" spans="1:16" x14ac:dyDescent="0.25">
      <c r="A5" s="64" t="s">
        <v>93</v>
      </c>
      <c r="B5" s="68" t="s">
        <v>102</v>
      </c>
      <c r="C5" s="69">
        <v>8.67</v>
      </c>
      <c r="D5" s="69">
        <v>5.52</v>
      </c>
      <c r="E5" s="70">
        <v>7.04</v>
      </c>
      <c r="F5" s="64" t="s">
        <v>93</v>
      </c>
      <c r="G5" s="68" t="s">
        <v>103</v>
      </c>
      <c r="H5" s="69">
        <v>74.28</v>
      </c>
      <c r="I5" s="69">
        <v>46.54</v>
      </c>
      <c r="J5" s="70">
        <v>60.02</v>
      </c>
      <c r="K5" s="64" t="s">
        <v>93</v>
      </c>
      <c r="L5" s="64" t="s">
        <v>93</v>
      </c>
      <c r="M5" t="s">
        <v>126</v>
      </c>
      <c r="N5">
        <f>H10/H20</f>
        <v>2.2222072642093642</v>
      </c>
      <c r="O5">
        <f t="shared" ref="O5:P5" si="0">I10/I20</f>
        <v>2.325612772655723</v>
      </c>
      <c r="P5">
        <f t="shared" si="0"/>
        <v>2.3809353802213491</v>
      </c>
    </row>
    <row r="6" spans="1:16" x14ac:dyDescent="0.25">
      <c r="A6" s="64" t="s">
        <v>93</v>
      </c>
      <c r="B6" s="68" t="s">
        <v>104</v>
      </c>
      <c r="C6" s="69" t="s">
        <v>93</v>
      </c>
      <c r="D6" s="69"/>
      <c r="E6" s="70" t="s">
        <v>93</v>
      </c>
      <c r="F6" s="64" t="s">
        <v>93</v>
      </c>
      <c r="G6" s="68" t="s">
        <v>105</v>
      </c>
      <c r="H6" s="69">
        <v>82.54</v>
      </c>
      <c r="I6" s="69">
        <v>51.71</v>
      </c>
      <c r="J6" s="70">
        <v>66.69</v>
      </c>
      <c r="K6" s="64" t="s">
        <v>93</v>
      </c>
      <c r="L6" s="64" t="s">
        <v>93</v>
      </c>
    </row>
    <row r="7" spans="1:16" x14ac:dyDescent="0.25">
      <c r="A7" s="64" t="s">
        <v>93</v>
      </c>
      <c r="B7" s="68" t="s">
        <v>106</v>
      </c>
      <c r="C7" s="69">
        <v>4.68</v>
      </c>
      <c r="D7" s="69">
        <v>1.36</v>
      </c>
      <c r="E7" s="70">
        <v>3.16</v>
      </c>
      <c r="F7" s="64" t="s">
        <v>93</v>
      </c>
      <c r="G7" s="68" t="s">
        <v>107</v>
      </c>
      <c r="H7" s="69">
        <v>8.25</v>
      </c>
      <c r="I7" s="69">
        <v>5.17</v>
      </c>
      <c r="J7" s="70">
        <v>6.67</v>
      </c>
      <c r="K7" s="64" t="s">
        <v>93</v>
      </c>
      <c r="L7" s="64" t="s">
        <v>93</v>
      </c>
    </row>
    <row r="8" spans="1:16" x14ac:dyDescent="0.25">
      <c r="A8" s="64" t="s">
        <v>93</v>
      </c>
      <c r="B8" s="77" t="s">
        <v>108</v>
      </c>
      <c r="C8" s="74">
        <v>4.68</v>
      </c>
      <c r="D8" s="74">
        <v>1.36</v>
      </c>
      <c r="E8" s="78">
        <v>3.16</v>
      </c>
      <c r="F8" s="64" t="s">
        <v>93</v>
      </c>
      <c r="G8" s="68" t="s">
        <v>109</v>
      </c>
      <c r="H8" s="69">
        <v>41.27</v>
      </c>
      <c r="I8" s="69">
        <v>25.86</v>
      </c>
      <c r="J8" s="70">
        <v>33.340000000000003</v>
      </c>
      <c r="K8" s="64" t="s">
        <v>93</v>
      </c>
      <c r="L8" s="64" t="s">
        <v>93</v>
      </c>
    </row>
    <row r="9" spans="1:16" x14ac:dyDescent="0.25">
      <c r="A9" s="64" t="s">
        <v>93</v>
      </c>
      <c r="B9" s="68" t="s">
        <v>110</v>
      </c>
      <c r="C9" s="69">
        <v>4.33</v>
      </c>
      <c r="D9" s="69">
        <v>2.76</v>
      </c>
      <c r="E9" s="70">
        <v>3.52</v>
      </c>
      <c r="F9" s="64" t="s">
        <v>93</v>
      </c>
      <c r="G9" s="68" t="s">
        <v>111</v>
      </c>
      <c r="H9" s="69">
        <v>82.54</v>
      </c>
      <c r="I9" s="69">
        <v>51.71</v>
      </c>
      <c r="J9" s="70">
        <v>66.69</v>
      </c>
      <c r="K9" s="64" t="s">
        <v>93</v>
      </c>
      <c r="L9" s="64" t="s">
        <v>93</v>
      </c>
    </row>
    <row r="10" spans="1:16" x14ac:dyDescent="0.25">
      <c r="A10" s="64" t="s">
        <v>93</v>
      </c>
      <c r="B10" s="68" t="s">
        <v>112</v>
      </c>
      <c r="C10" s="69">
        <v>2.89</v>
      </c>
      <c r="D10" s="69">
        <v>1.84</v>
      </c>
      <c r="E10" s="70">
        <v>2.35</v>
      </c>
      <c r="F10" s="64" t="s">
        <v>93</v>
      </c>
      <c r="G10" s="77" t="s">
        <v>113</v>
      </c>
      <c r="H10" s="74">
        <v>825.35</v>
      </c>
      <c r="I10" s="74">
        <v>517.1</v>
      </c>
      <c r="J10" s="78">
        <v>666.9</v>
      </c>
      <c r="K10" s="64" t="s">
        <v>93</v>
      </c>
      <c r="L10" s="64" t="s">
        <v>93</v>
      </c>
    </row>
    <row r="11" spans="1:16" ht="15.75" thickBot="1" x14ac:dyDescent="0.3">
      <c r="A11" s="64" t="s">
        <v>93</v>
      </c>
      <c r="B11" s="77" t="s">
        <v>0</v>
      </c>
      <c r="C11" s="74">
        <v>165.07</v>
      </c>
      <c r="D11" s="74">
        <v>103.42</v>
      </c>
      <c r="E11" s="78">
        <v>133.38</v>
      </c>
      <c r="F11" s="64" t="s">
        <v>93</v>
      </c>
      <c r="G11" s="68" t="s">
        <v>93</v>
      </c>
      <c r="H11" s="69"/>
      <c r="I11" s="69"/>
      <c r="J11" s="70" t="s">
        <v>93</v>
      </c>
      <c r="K11" s="64" t="s">
        <v>93</v>
      </c>
      <c r="L11" s="64" t="s">
        <v>93</v>
      </c>
    </row>
    <row r="12" spans="1:16" ht="15.75" thickBot="1" x14ac:dyDescent="0.3">
      <c r="A12" s="64" t="s">
        <v>93</v>
      </c>
      <c r="B12" s="68" t="s">
        <v>93</v>
      </c>
      <c r="C12" s="69" t="s">
        <v>93</v>
      </c>
      <c r="D12" s="69"/>
      <c r="E12" s="70" t="s">
        <v>93</v>
      </c>
      <c r="F12" s="64" t="s">
        <v>93</v>
      </c>
      <c r="G12" s="79" t="s">
        <v>114</v>
      </c>
      <c r="H12" s="69"/>
      <c r="I12" s="69"/>
      <c r="J12" s="70" t="s">
        <v>93</v>
      </c>
      <c r="K12" s="64" t="s">
        <v>93</v>
      </c>
      <c r="L12" s="64" t="s">
        <v>93</v>
      </c>
    </row>
    <row r="13" spans="1:16" ht="15.75" thickBot="1" x14ac:dyDescent="0.3">
      <c r="A13" s="64" t="s">
        <v>93</v>
      </c>
      <c r="B13" s="79" t="s">
        <v>115</v>
      </c>
      <c r="C13" s="69" t="s">
        <v>93</v>
      </c>
      <c r="D13" s="69"/>
      <c r="E13" s="70" t="s">
        <v>93</v>
      </c>
      <c r="F13" s="64" t="s">
        <v>93</v>
      </c>
      <c r="G13" s="68" t="s">
        <v>116</v>
      </c>
      <c r="H13" s="69">
        <v>57.2</v>
      </c>
      <c r="I13" s="69">
        <v>37.14</v>
      </c>
      <c r="J13" s="70">
        <v>48.74</v>
      </c>
      <c r="K13" s="64" t="s">
        <v>93</v>
      </c>
      <c r="L13" s="64" t="s">
        <v>93</v>
      </c>
    </row>
    <row r="14" spans="1:16" x14ac:dyDescent="0.25">
      <c r="A14" s="64" t="s">
        <v>93</v>
      </c>
      <c r="B14" s="68" t="s">
        <v>117</v>
      </c>
      <c r="C14" s="69"/>
      <c r="D14" s="69"/>
      <c r="E14" s="70" t="s">
        <v>93</v>
      </c>
      <c r="F14" s="64" t="s">
        <v>93</v>
      </c>
      <c r="G14" s="68" t="s">
        <v>118</v>
      </c>
      <c r="H14" s="69">
        <v>245.13</v>
      </c>
      <c r="I14" s="69">
        <v>159.16</v>
      </c>
      <c r="J14" s="70">
        <v>208.87</v>
      </c>
      <c r="K14" s="64" t="s">
        <v>93</v>
      </c>
      <c r="L14" s="64" t="s">
        <v>93</v>
      </c>
    </row>
    <row r="15" spans="1:16" x14ac:dyDescent="0.25">
      <c r="A15" s="64" t="s">
        <v>93</v>
      </c>
      <c r="B15" s="68" t="s">
        <v>119</v>
      </c>
      <c r="C15" s="69">
        <v>39.54</v>
      </c>
      <c r="D15" s="69">
        <v>31.64</v>
      </c>
      <c r="E15" s="70">
        <v>33.22</v>
      </c>
      <c r="F15" s="64" t="s">
        <v>93</v>
      </c>
      <c r="G15" s="68" t="s">
        <v>120</v>
      </c>
      <c r="H15" s="69">
        <v>113.49</v>
      </c>
      <c r="I15" s="69">
        <v>73.69</v>
      </c>
      <c r="J15" s="70">
        <v>96.7</v>
      </c>
      <c r="K15" s="64" t="s">
        <v>93</v>
      </c>
      <c r="L15" s="64" t="s">
        <v>93</v>
      </c>
    </row>
    <row r="16" spans="1:16" x14ac:dyDescent="0.25">
      <c r="A16" s="64" t="s">
        <v>93</v>
      </c>
      <c r="B16" s="68" t="s">
        <v>121</v>
      </c>
      <c r="C16" s="69">
        <v>5.2</v>
      </c>
      <c r="D16" s="69">
        <v>3.31</v>
      </c>
      <c r="E16" s="70">
        <v>4.22</v>
      </c>
      <c r="F16" s="64" t="s">
        <v>93</v>
      </c>
      <c r="G16" s="68" t="s">
        <v>122</v>
      </c>
      <c r="H16" s="69">
        <v>19.97</v>
      </c>
      <c r="I16" s="69">
        <v>12.97</v>
      </c>
      <c r="J16" s="70">
        <v>17.02</v>
      </c>
      <c r="K16" s="64" t="s">
        <v>93</v>
      </c>
      <c r="L16" s="64" t="s">
        <v>93</v>
      </c>
    </row>
    <row r="17" spans="1:12" x14ac:dyDescent="0.25">
      <c r="A17" s="64" t="s">
        <v>93</v>
      </c>
      <c r="B17" s="77" t="s">
        <v>1</v>
      </c>
      <c r="C17" s="74">
        <v>44.75</v>
      </c>
      <c r="D17" s="74">
        <v>34.950000000000003</v>
      </c>
      <c r="E17" s="78">
        <v>37.44</v>
      </c>
      <c r="F17" s="64" t="s">
        <v>93</v>
      </c>
      <c r="G17" s="68" t="s">
        <v>124</v>
      </c>
      <c r="H17" s="69">
        <v>18.16</v>
      </c>
      <c r="I17" s="69">
        <v>11.79</v>
      </c>
      <c r="J17" s="70">
        <v>15.47</v>
      </c>
      <c r="K17" s="64" t="s">
        <v>93</v>
      </c>
      <c r="L17" s="64" t="s">
        <v>93</v>
      </c>
    </row>
    <row r="18" spans="1:12" x14ac:dyDescent="0.25">
      <c r="A18" s="64" t="s">
        <v>93</v>
      </c>
      <c r="B18" s="68" t="s">
        <v>2</v>
      </c>
      <c r="C18" s="69">
        <v>17.059999999999999</v>
      </c>
      <c r="D18" s="69">
        <v>13.65</v>
      </c>
      <c r="E18" s="70">
        <v>14.33</v>
      </c>
      <c r="F18" s="64" t="s">
        <v>93</v>
      </c>
      <c r="G18" s="77" t="s">
        <v>127</v>
      </c>
      <c r="H18" s="74">
        <v>453.94</v>
      </c>
      <c r="I18" s="74">
        <v>294.75</v>
      </c>
      <c r="J18" s="78">
        <v>386.8</v>
      </c>
      <c r="K18" s="64" t="s">
        <v>93</v>
      </c>
      <c r="L18" s="64" t="s">
        <v>93</v>
      </c>
    </row>
    <row r="19" spans="1:12" ht="15.75" thickBot="1" x14ac:dyDescent="0.3">
      <c r="A19" s="64" t="s">
        <v>93</v>
      </c>
      <c r="B19" s="68" t="s">
        <v>129</v>
      </c>
      <c r="C19" s="69">
        <v>9.68</v>
      </c>
      <c r="D19" s="69">
        <v>6.29</v>
      </c>
      <c r="E19" s="70">
        <v>8.25</v>
      </c>
      <c r="F19" s="64" t="s">
        <v>93</v>
      </c>
      <c r="G19" s="68" t="s">
        <v>93</v>
      </c>
      <c r="H19" s="69"/>
      <c r="I19" s="69"/>
      <c r="J19" s="70" t="s">
        <v>93</v>
      </c>
      <c r="K19" s="64" t="s">
        <v>93</v>
      </c>
      <c r="L19" s="64" t="s">
        <v>93</v>
      </c>
    </row>
    <row r="20" spans="1:12" ht="15.75" thickBot="1" x14ac:dyDescent="0.3">
      <c r="A20" s="64" t="s">
        <v>93</v>
      </c>
      <c r="B20" s="68" t="s">
        <v>144</v>
      </c>
      <c r="C20" s="69">
        <v>7.95</v>
      </c>
      <c r="D20" s="69">
        <v>7.86</v>
      </c>
      <c r="E20" s="70">
        <v>6.58</v>
      </c>
      <c r="F20" s="64" t="s">
        <v>93</v>
      </c>
      <c r="G20" s="81" t="s">
        <v>132</v>
      </c>
      <c r="H20" s="82">
        <v>371.41</v>
      </c>
      <c r="I20" s="95">
        <v>222.35</v>
      </c>
      <c r="J20" s="83">
        <v>280.10000000000002</v>
      </c>
      <c r="K20" s="64" t="s">
        <v>93</v>
      </c>
      <c r="L20" s="64" t="s">
        <v>93</v>
      </c>
    </row>
    <row r="21" spans="1:12" x14ac:dyDescent="0.25">
      <c r="A21" s="64" t="s">
        <v>93</v>
      </c>
      <c r="B21" s="68" t="s">
        <v>133</v>
      </c>
      <c r="C21" s="71">
        <v>-1.9</v>
      </c>
      <c r="D21" s="71">
        <v>-0.71</v>
      </c>
      <c r="E21" s="72">
        <v>-1.47</v>
      </c>
      <c r="F21" s="64" t="s">
        <v>93</v>
      </c>
      <c r="G21" s="85" t="s">
        <v>126</v>
      </c>
      <c r="H21" s="85">
        <f>H10/H20</f>
        <v>2.2222072642093642</v>
      </c>
      <c r="I21" s="85">
        <f t="shared" ref="I21:J21" si="1">I10/I20</f>
        <v>2.325612772655723</v>
      </c>
      <c r="J21" s="85">
        <f t="shared" si="1"/>
        <v>2.3809353802213491</v>
      </c>
      <c r="K21" s="64" t="s">
        <v>93</v>
      </c>
      <c r="L21" s="64" t="s">
        <v>93</v>
      </c>
    </row>
    <row r="22" spans="1:12" x14ac:dyDescent="0.25">
      <c r="A22" s="64" t="s">
        <v>93</v>
      </c>
      <c r="B22" s="77" t="s">
        <v>134</v>
      </c>
      <c r="C22" s="74">
        <v>77.540000000000006</v>
      </c>
      <c r="D22" s="74">
        <v>62.03</v>
      </c>
      <c r="E22" s="78">
        <v>65.13</v>
      </c>
      <c r="F22" s="64" t="s">
        <v>93</v>
      </c>
      <c r="G22" s="85" t="s">
        <v>128</v>
      </c>
      <c r="H22" s="85">
        <f>C11/H10</f>
        <v>0.19999999999999998</v>
      </c>
      <c r="I22" s="85">
        <f t="shared" ref="I22:J22" si="2">D11/I10</f>
        <v>0.19999999999999998</v>
      </c>
      <c r="J22" s="85">
        <f t="shared" si="2"/>
        <v>0.2</v>
      </c>
      <c r="K22" s="64" t="s">
        <v>93</v>
      </c>
      <c r="L22" s="64" t="s">
        <v>93</v>
      </c>
    </row>
    <row r="23" spans="1:12" x14ac:dyDescent="0.25">
      <c r="A23" s="64" t="s">
        <v>93</v>
      </c>
      <c r="B23" s="68" t="s">
        <v>93</v>
      </c>
      <c r="C23" s="69"/>
      <c r="D23" s="69"/>
      <c r="E23" s="70" t="s">
        <v>93</v>
      </c>
      <c r="F23" s="64" t="s">
        <v>93</v>
      </c>
      <c r="G23" s="85" t="s">
        <v>130</v>
      </c>
      <c r="H23" s="85">
        <f>(C11-C17)/C11</f>
        <v>0.72890288968316475</v>
      </c>
      <c r="I23" s="85">
        <f t="shared" ref="I23:J23" si="3">(D11-D17)/D11</f>
        <v>0.66205762908528332</v>
      </c>
      <c r="J23" s="85">
        <f t="shared" si="3"/>
        <v>0.7192982456140351</v>
      </c>
      <c r="K23" s="64" t="s">
        <v>93</v>
      </c>
      <c r="L23" s="64" t="s">
        <v>93</v>
      </c>
    </row>
    <row r="24" spans="1:12" x14ac:dyDescent="0.25">
      <c r="A24" s="64" t="s">
        <v>93</v>
      </c>
      <c r="B24" s="68" t="s">
        <v>135</v>
      </c>
      <c r="C24" s="69">
        <v>87.53</v>
      </c>
      <c r="D24" s="69">
        <v>41.39</v>
      </c>
      <c r="E24" s="70">
        <v>68.25</v>
      </c>
      <c r="F24" s="64" t="s">
        <v>93</v>
      </c>
      <c r="G24" s="64" t="s">
        <v>93</v>
      </c>
      <c r="H24" s="64" t="s">
        <v>93</v>
      </c>
      <c r="I24" s="64" t="s">
        <v>93</v>
      </c>
      <c r="J24" s="64" t="s">
        <v>93</v>
      </c>
      <c r="K24" s="64" t="s">
        <v>93</v>
      </c>
      <c r="L24" s="64" t="s">
        <v>93</v>
      </c>
    </row>
    <row r="25" spans="1:12" ht="15.75" thickBot="1" x14ac:dyDescent="0.3">
      <c r="A25" s="64" t="s">
        <v>93</v>
      </c>
      <c r="B25" s="68" t="s">
        <v>136</v>
      </c>
      <c r="C25" s="69">
        <v>11.99</v>
      </c>
      <c r="D25" s="69">
        <v>5.67</v>
      </c>
      <c r="E25" s="70">
        <v>9.35</v>
      </c>
      <c r="F25" s="64" t="s">
        <v>93</v>
      </c>
      <c r="G25" s="64" t="s">
        <v>93</v>
      </c>
      <c r="H25" s="64" t="s">
        <v>93</v>
      </c>
      <c r="I25" s="64" t="s">
        <v>93</v>
      </c>
      <c r="J25" s="64" t="s">
        <v>93</v>
      </c>
      <c r="K25" s="64" t="s">
        <v>93</v>
      </c>
      <c r="L25" s="64" t="s">
        <v>93</v>
      </c>
    </row>
    <row r="26" spans="1:12" ht="15.75" thickBot="1" x14ac:dyDescent="0.3">
      <c r="A26" s="64" t="s">
        <v>93</v>
      </c>
      <c r="B26" s="81" t="s">
        <v>137</v>
      </c>
      <c r="C26" s="82">
        <v>75.540000000000006</v>
      </c>
      <c r="D26" s="95">
        <v>35.72</v>
      </c>
      <c r="E26" s="83">
        <v>58.9</v>
      </c>
      <c r="F26" s="64" t="s">
        <v>93</v>
      </c>
      <c r="G26" s="64" t="s">
        <v>93</v>
      </c>
      <c r="H26" s="64" t="s">
        <v>93</v>
      </c>
      <c r="I26" s="64" t="s">
        <v>93</v>
      </c>
      <c r="J26" s="64" t="s">
        <v>93</v>
      </c>
      <c r="K26" s="64" t="s">
        <v>93</v>
      </c>
      <c r="L26" s="64" t="s">
        <v>93</v>
      </c>
    </row>
    <row r="27" spans="1:12" x14ac:dyDescent="0.25">
      <c r="A27" s="64" t="s">
        <v>93</v>
      </c>
      <c r="B27" s="64" t="s">
        <v>93</v>
      </c>
      <c r="C27" s="64" t="s">
        <v>93</v>
      </c>
      <c r="D27" s="64" t="s">
        <v>93</v>
      </c>
      <c r="E27" s="64" t="s">
        <v>93</v>
      </c>
      <c r="F27" s="64" t="s">
        <v>93</v>
      </c>
      <c r="G27" s="64" t="s">
        <v>93</v>
      </c>
      <c r="H27" s="64" t="s">
        <v>93</v>
      </c>
      <c r="I27" s="64" t="s">
        <v>93</v>
      </c>
      <c r="J27" s="64" t="s">
        <v>93</v>
      </c>
      <c r="K27" s="64" t="s">
        <v>93</v>
      </c>
      <c r="L27" s="64" t="s">
        <v>93</v>
      </c>
    </row>
    <row r="28" spans="1:12" x14ac:dyDescent="0.25">
      <c r="A28" s="64" t="s">
        <v>93</v>
      </c>
      <c r="B28" s="64" t="s">
        <v>93</v>
      </c>
      <c r="C28" s="64" t="s">
        <v>93</v>
      </c>
      <c r="D28" s="64" t="s">
        <v>93</v>
      </c>
      <c r="E28" s="64" t="s">
        <v>93</v>
      </c>
      <c r="F28" s="64" t="s">
        <v>93</v>
      </c>
      <c r="G28" s="64" t="s">
        <v>93</v>
      </c>
      <c r="H28" s="64" t="s">
        <v>93</v>
      </c>
      <c r="I28" s="64" t="s">
        <v>93</v>
      </c>
      <c r="J28" s="64" t="s">
        <v>93</v>
      </c>
      <c r="K28" s="64" t="s">
        <v>93</v>
      </c>
      <c r="L28" s="64" t="s">
        <v>93</v>
      </c>
    </row>
    <row r="29" spans="1:12" x14ac:dyDescent="0.25">
      <c r="A29" s="64" t="s">
        <v>93</v>
      </c>
      <c r="B29" s="64" t="s">
        <v>93</v>
      </c>
      <c r="C29" s="64" t="s">
        <v>93</v>
      </c>
      <c r="D29" s="64" t="s">
        <v>93</v>
      </c>
      <c r="E29" s="64" t="s">
        <v>93</v>
      </c>
      <c r="F29" s="64" t="s">
        <v>93</v>
      </c>
      <c r="G29" s="64" t="s">
        <v>93</v>
      </c>
      <c r="H29" s="64" t="s">
        <v>93</v>
      </c>
      <c r="I29" s="64" t="s">
        <v>93</v>
      </c>
      <c r="J29" s="64" t="s">
        <v>93</v>
      </c>
      <c r="K29" s="64" t="s">
        <v>93</v>
      </c>
      <c r="L29" s="64" t="s">
        <v>93</v>
      </c>
    </row>
    <row r="30" spans="1:12" x14ac:dyDescent="0.25">
      <c r="A30" s="64" t="s">
        <v>93</v>
      </c>
      <c r="B30" s="64" t="s">
        <v>93</v>
      </c>
      <c r="C30" s="64" t="s">
        <v>93</v>
      </c>
      <c r="D30" s="64" t="s">
        <v>93</v>
      </c>
      <c r="E30" s="64" t="s">
        <v>93</v>
      </c>
      <c r="F30" s="64" t="s">
        <v>93</v>
      </c>
      <c r="G30" s="64" t="s">
        <v>93</v>
      </c>
      <c r="H30" s="64" t="s">
        <v>93</v>
      </c>
      <c r="I30" s="64" t="s">
        <v>93</v>
      </c>
      <c r="J30" s="64" t="s">
        <v>93</v>
      </c>
      <c r="K30" s="64" t="s">
        <v>93</v>
      </c>
      <c r="L30" s="64" t="s">
        <v>93</v>
      </c>
    </row>
    <row r="31" spans="1:12" x14ac:dyDescent="0.25">
      <c r="A31" s="64" t="s">
        <v>93</v>
      </c>
      <c r="B31" s="64" t="s">
        <v>93</v>
      </c>
      <c r="C31" s="64" t="s">
        <v>93</v>
      </c>
      <c r="D31" s="64" t="s">
        <v>93</v>
      </c>
      <c r="E31" s="64" t="s">
        <v>93</v>
      </c>
      <c r="F31" s="64" t="s">
        <v>93</v>
      </c>
      <c r="G31" s="64" t="s">
        <v>93</v>
      </c>
      <c r="H31" s="64" t="s">
        <v>93</v>
      </c>
      <c r="I31" s="64" t="s">
        <v>93</v>
      </c>
      <c r="J31" s="64" t="s">
        <v>93</v>
      </c>
      <c r="K31" s="64" t="s">
        <v>93</v>
      </c>
      <c r="L31" s="64" t="s">
        <v>93</v>
      </c>
    </row>
    <row r="32" spans="1:12" ht="15.75" thickBot="1" x14ac:dyDescent="0.3">
      <c r="A32" s="64" t="s">
        <v>93</v>
      </c>
      <c r="B32" s="64" t="s">
        <v>93</v>
      </c>
      <c r="C32" s="64" t="s">
        <v>93</v>
      </c>
      <c r="D32" s="64" t="s">
        <v>93</v>
      </c>
      <c r="E32" s="64" t="s">
        <v>93</v>
      </c>
      <c r="F32" s="64" t="s">
        <v>93</v>
      </c>
      <c r="G32" s="64" t="s">
        <v>93</v>
      </c>
      <c r="H32" s="64" t="s">
        <v>93</v>
      </c>
      <c r="I32" s="64" t="s">
        <v>93</v>
      </c>
      <c r="J32" s="64" t="s">
        <v>93</v>
      </c>
      <c r="K32" s="64" t="s">
        <v>93</v>
      </c>
      <c r="L32" s="64" t="s">
        <v>93</v>
      </c>
    </row>
    <row r="33" spans="2:10" ht="15.75" thickBot="1" x14ac:dyDescent="0.3">
      <c r="B33" s="86" t="s">
        <v>138</v>
      </c>
      <c r="C33" s="64" t="s">
        <v>93</v>
      </c>
    </row>
    <row r="34" spans="2:10" x14ac:dyDescent="0.25">
      <c r="B34" s="87" t="s">
        <v>79</v>
      </c>
      <c r="C34" s="88">
        <v>3.95E-2</v>
      </c>
      <c r="J34">
        <f>J20+J18-SUM(J5:J6)</f>
        <v>540.19000000000005</v>
      </c>
    </row>
    <row r="35" spans="2:10" x14ac:dyDescent="0.25">
      <c r="B35" s="68" t="s">
        <v>80</v>
      </c>
      <c r="C35" s="89">
        <v>0.13700000000000001</v>
      </c>
      <c r="D35" s="96"/>
      <c r="E35" s="96">
        <v>0.1</v>
      </c>
      <c r="F35" t="s">
        <v>139</v>
      </c>
      <c r="J35">
        <f>J34/E11</f>
        <v>4.050007497375919</v>
      </c>
    </row>
    <row r="36" spans="2:10" x14ac:dyDescent="0.25">
      <c r="B36" s="68" t="s">
        <v>81</v>
      </c>
      <c r="C36" s="89">
        <v>4.4999999999999998E-2</v>
      </c>
      <c r="D36" s="96"/>
      <c r="E36" s="96">
        <v>0.3</v>
      </c>
      <c r="F36" t="s">
        <v>140</v>
      </c>
    </row>
    <row r="37" spans="2:10" x14ac:dyDescent="0.25">
      <c r="B37" s="68" t="s">
        <v>82</v>
      </c>
      <c r="C37" s="89">
        <v>3.2500000000000001E-2</v>
      </c>
      <c r="D37" s="96"/>
      <c r="E37" s="96">
        <v>0.75</v>
      </c>
      <c r="F37" t="s">
        <v>141</v>
      </c>
    </row>
    <row r="38" spans="2:10" x14ac:dyDescent="0.25">
      <c r="B38" s="68" t="s">
        <v>83</v>
      </c>
      <c r="C38" s="89">
        <v>5.5E-2</v>
      </c>
      <c r="D38" s="57"/>
      <c r="E38" s="57">
        <v>-0.05</v>
      </c>
      <c r="F38" t="s">
        <v>142</v>
      </c>
    </row>
    <row r="39" spans="2:10" ht="15.75" thickBot="1" x14ac:dyDescent="0.3">
      <c r="B39" s="92" t="s">
        <v>47</v>
      </c>
      <c r="C39" s="93" t="s">
        <v>93</v>
      </c>
    </row>
    <row r="42" spans="2:10" ht="15.75" thickBot="1" x14ac:dyDescent="0.3">
      <c r="B42" s="65" t="s">
        <v>95</v>
      </c>
      <c r="C42" s="64" t="s">
        <v>93</v>
      </c>
      <c r="D42" s="64" t="s">
        <v>93</v>
      </c>
      <c r="E42" s="64" t="s">
        <v>93</v>
      </c>
      <c r="F42" s="64" t="s">
        <v>93</v>
      </c>
      <c r="G42" s="65" t="s">
        <v>96</v>
      </c>
      <c r="H42" s="64" t="s">
        <v>93</v>
      </c>
      <c r="I42" s="64" t="s">
        <v>93</v>
      </c>
      <c r="J42" s="64" t="s">
        <v>93</v>
      </c>
    </row>
    <row r="43" spans="2:10" ht="15.75" thickBot="1" x14ac:dyDescent="0.3">
      <c r="B43" s="66" t="s">
        <v>97</v>
      </c>
      <c r="C43" s="67">
        <v>2021</v>
      </c>
      <c r="D43" s="67">
        <v>2022</v>
      </c>
      <c r="E43" s="67" t="s">
        <v>98</v>
      </c>
      <c r="F43" s="64" t="s">
        <v>93</v>
      </c>
      <c r="G43" s="66" t="s">
        <v>99</v>
      </c>
      <c r="H43" s="67">
        <v>2021</v>
      </c>
      <c r="I43" s="67">
        <v>2022</v>
      </c>
      <c r="J43" s="67" t="s">
        <v>98</v>
      </c>
    </row>
    <row r="44" spans="2:10" x14ac:dyDescent="0.25">
      <c r="B44" s="68" t="s">
        <v>100</v>
      </c>
      <c r="C44" s="94">
        <f>(C4+(C4*$E$38))</f>
        <v>137.27500000000001</v>
      </c>
      <c r="D44" s="94">
        <f t="shared" ref="D44:E44" si="4">(D4+(D4*$E$38))</f>
        <v>87.352500000000006</v>
      </c>
      <c r="E44" s="94">
        <f t="shared" si="4"/>
        <v>111.45399999999999</v>
      </c>
      <c r="F44" s="64" t="s">
        <v>93</v>
      </c>
      <c r="G44" s="68" t="s">
        <v>101</v>
      </c>
      <c r="H44" s="69">
        <v>536.48</v>
      </c>
      <c r="I44" s="69">
        <v>336.12</v>
      </c>
      <c r="J44" s="70">
        <v>433.48</v>
      </c>
    </row>
    <row r="45" spans="2:10" x14ac:dyDescent="0.25">
      <c r="B45" s="68" t="s">
        <v>102</v>
      </c>
      <c r="C45" s="69">
        <v>8.67</v>
      </c>
      <c r="D45" s="69">
        <v>5.52</v>
      </c>
      <c r="E45" s="70">
        <v>7.04</v>
      </c>
      <c r="F45" s="64" t="s">
        <v>93</v>
      </c>
      <c r="G45" s="68" t="s">
        <v>103</v>
      </c>
      <c r="H45" s="69">
        <v>74.28</v>
      </c>
      <c r="I45" s="69">
        <v>46.54</v>
      </c>
      <c r="J45" s="70">
        <v>60.02</v>
      </c>
    </row>
    <row r="46" spans="2:10" x14ac:dyDescent="0.25">
      <c r="B46" s="68" t="s">
        <v>104</v>
      </c>
      <c r="C46" s="69" t="s">
        <v>93</v>
      </c>
      <c r="D46" s="69"/>
      <c r="E46" s="70" t="s">
        <v>93</v>
      </c>
      <c r="F46" s="64" t="s">
        <v>93</v>
      </c>
      <c r="G46" s="68" t="s">
        <v>105</v>
      </c>
      <c r="H46" s="69">
        <v>82.54</v>
      </c>
      <c r="I46" s="69">
        <v>51.71</v>
      </c>
      <c r="J46" s="70">
        <v>66.69</v>
      </c>
    </row>
    <row r="47" spans="2:10" x14ac:dyDescent="0.25">
      <c r="B47" s="68" t="s">
        <v>106</v>
      </c>
      <c r="C47" s="69"/>
      <c r="D47" s="71"/>
      <c r="E47" s="72"/>
      <c r="F47" s="64" t="s">
        <v>93</v>
      </c>
      <c r="G47" s="68" t="s">
        <v>107</v>
      </c>
      <c r="H47" s="69">
        <v>8.25</v>
      </c>
      <c r="I47" s="69">
        <v>5.17</v>
      </c>
      <c r="J47" s="70">
        <v>6.67</v>
      </c>
    </row>
    <row r="48" spans="2:10" x14ac:dyDescent="0.25">
      <c r="B48" s="73" t="s">
        <v>108</v>
      </c>
      <c r="C48" s="74">
        <v>3.76</v>
      </c>
      <c r="D48" s="75">
        <v>-2.16</v>
      </c>
      <c r="E48" s="76">
        <v>-1.82</v>
      </c>
      <c r="F48" s="64" t="s">
        <v>93</v>
      </c>
      <c r="G48" s="68" t="s">
        <v>109</v>
      </c>
      <c r="H48" s="69">
        <v>41.27</v>
      </c>
      <c r="I48" s="69">
        <v>25.86</v>
      </c>
      <c r="J48" s="70">
        <v>33.340000000000003</v>
      </c>
    </row>
    <row r="49" spans="2:10" x14ac:dyDescent="0.25">
      <c r="B49" s="68" t="s">
        <v>110</v>
      </c>
      <c r="C49" s="69">
        <v>4.33</v>
      </c>
      <c r="D49" s="69">
        <v>2.76</v>
      </c>
      <c r="E49" s="70">
        <v>3.52</v>
      </c>
      <c r="F49" s="64" t="s">
        <v>93</v>
      </c>
      <c r="G49" s="68" t="s">
        <v>111</v>
      </c>
      <c r="H49" s="69">
        <v>82.54</v>
      </c>
      <c r="I49" s="69">
        <v>51.71</v>
      </c>
      <c r="J49" s="70">
        <v>66.69</v>
      </c>
    </row>
    <row r="50" spans="2:10" x14ac:dyDescent="0.25">
      <c r="B50" s="68" t="s">
        <v>112</v>
      </c>
      <c r="C50" s="69">
        <v>2.89</v>
      </c>
      <c r="D50" s="69">
        <v>1.84</v>
      </c>
      <c r="E50" s="70">
        <v>2.35</v>
      </c>
      <c r="F50" s="64" t="s">
        <v>93</v>
      </c>
      <c r="G50" s="77" t="s">
        <v>113</v>
      </c>
      <c r="H50" s="74">
        <v>825.35</v>
      </c>
      <c r="I50" s="74">
        <v>517.1</v>
      </c>
      <c r="J50" s="78">
        <v>666.9</v>
      </c>
    </row>
    <row r="51" spans="2:10" ht="15.75" thickBot="1" x14ac:dyDescent="0.3">
      <c r="B51" s="77" t="s">
        <v>0</v>
      </c>
      <c r="C51" s="74">
        <f>SUM(C44:C50)</f>
        <v>156.92499999999998</v>
      </c>
      <c r="D51" s="74">
        <f>SUM(D44:D50)</f>
        <v>95.312500000000014</v>
      </c>
      <c r="E51" s="74">
        <f>SUM(E44:E50)</f>
        <v>122.544</v>
      </c>
      <c r="F51" s="64" t="s">
        <v>93</v>
      </c>
      <c r="G51" s="68" t="s">
        <v>93</v>
      </c>
      <c r="H51" s="69"/>
      <c r="I51" s="69"/>
      <c r="J51" s="70" t="s">
        <v>93</v>
      </c>
    </row>
    <row r="52" spans="2:10" ht="15.75" thickBot="1" x14ac:dyDescent="0.3">
      <c r="B52" s="68" t="s">
        <v>93</v>
      </c>
      <c r="C52" s="69" t="s">
        <v>93</v>
      </c>
      <c r="D52" s="69"/>
      <c r="E52" s="70" t="s">
        <v>93</v>
      </c>
      <c r="F52" s="64" t="s">
        <v>93</v>
      </c>
      <c r="G52" s="79" t="s">
        <v>114</v>
      </c>
      <c r="H52" s="69"/>
      <c r="I52" s="69"/>
      <c r="J52" s="70" t="s">
        <v>93</v>
      </c>
    </row>
    <row r="53" spans="2:10" ht="15.75" thickBot="1" x14ac:dyDescent="0.3">
      <c r="B53" s="79" t="s">
        <v>115</v>
      </c>
      <c r="C53" s="69" t="s">
        <v>93</v>
      </c>
      <c r="D53" s="69"/>
      <c r="E53" s="70" t="s">
        <v>93</v>
      </c>
      <c r="F53" s="64" t="s">
        <v>93</v>
      </c>
      <c r="G53" s="68" t="s">
        <v>116</v>
      </c>
      <c r="H53" s="69">
        <v>57.2</v>
      </c>
      <c r="I53" s="69">
        <v>37.14</v>
      </c>
      <c r="J53" s="70">
        <v>48.74</v>
      </c>
    </row>
    <row r="54" spans="2:10" x14ac:dyDescent="0.25">
      <c r="B54" s="68" t="s">
        <v>117</v>
      </c>
      <c r="C54" s="69" t="s">
        <v>93</v>
      </c>
      <c r="D54" s="69"/>
      <c r="E54" s="70" t="s">
        <v>93</v>
      </c>
      <c r="F54" s="64" t="s">
        <v>93</v>
      </c>
      <c r="G54" s="68" t="s">
        <v>118</v>
      </c>
      <c r="H54" s="69">
        <v>245.13</v>
      </c>
      <c r="I54" s="69">
        <v>159.16</v>
      </c>
      <c r="J54" s="70">
        <v>208.87</v>
      </c>
    </row>
    <row r="55" spans="2:10" x14ac:dyDescent="0.25">
      <c r="B55" s="68" t="s">
        <v>119</v>
      </c>
      <c r="C55" s="94">
        <f>C15-(C15*$E$35*$E$37)</f>
        <v>36.5745</v>
      </c>
      <c r="D55" s="94">
        <f t="shared" ref="D55:E55" si="5">D15-(D15*$E$35*$E$37)</f>
        <v>29.266999999999999</v>
      </c>
      <c r="E55" s="94">
        <f t="shared" si="5"/>
        <v>30.728499999999997</v>
      </c>
      <c r="F55" s="64" t="s">
        <v>93</v>
      </c>
      <c r="G55" s="68" t="s">
        <v>120</v>
      </c>
      <c r="H55" s="69">
        <v>113.49</v>
      </c>
      <c r="I55" s="69">
        <v>73.69</v>
      </c>
      <c r="J55" s="70">
        <v>96.7</v>
      </c>
    </row>
    <row r="56" spans="2:10" x14ac:dyDescent="0.25">
      <c r="B56" s="68" t="s">
        <v>121</v>
      </c>
      <c r="C56" s="69">
        <v>5.2</v>
      </c>
      <c r="D56" s="69">
        <v>3.31</v>
      </c>
      <c r="E56" s="70">
        <v>4.22</v>
      </c>
      <c r="F56" s="64" t="s">
        <v>93</v>
      </c>
      <c r="G56" s="68" t="s">
        <v>122</v>
      </c>
      <c r="H56" s="69">
        <v>19.97</v>
      </c>
      <c r="I56" s="69">
        <v>12.97</v>
      </c>
      <c r="J56" s="70">
        <v>17.02</v>
      </c>
    </row>
    <row r="57" spans="2:10" x14ac:dyDescent="0.25">
      <c r="B57" s="73" t="s">
        <v>1</v>
      </c>
      <c r="C57" s="74">
        <f>SUM(C54:C56)</f>
        <v>41.774500000000003</v>
      </c>
      <c r="D57" s="74">
        <f t="shared" ref="D57:E57" si="6">SUM(D54:D56)</f>
        <v>32.576999999999998</v>
      </c>
      <c r="E57" s="74">
        <f t="shared" si="6"/>
        <v>34.948499999999996</v>
      </c>
      <c r="F57" s="64" t="s">
        <v>93</v>
      </c>
      <c r="G57" s="68" t="s">
        <v>124</v>
      </c>
      <c r="H57" s="69">
        <v>18.16</v>
      </c>
      <c r="I57" s="69">
        <v>11.79</v>
      </c>
      <c r="J57" s="70">
        <v>15.47</v>
      </c>
    </row>
    <row r="58" spans="2:10" x14ac:dyDescent="0.25">
      <c r="B58" s="68" t="s">
        <v>2</v>
      </c>
      <c r="C58" s="94">
        <f>C18-(C18*$E$36)*$E$37</f>
        <v>13.221499999999999</v>
      </c>
      <c r="D58" s="94">
        <f>D18-(D18*$E$36)*$E$37</f>
        <v>10.578749999999999</v>
      </c>
      <c r="E58" s="94">
        <f>E18-(E18*$E$36)*$E$37</f>
        <v>11.10575</v>
      </c>
      <c r="F58" s="64" t="s">
        <v>93</v>
      </c>
      <c r="G58" s="77" t="s">
        <v>127</v>
      </c>
      <c r="H58" s="74">
        <v>453.94</v>
      </c>
      <c r="I58" s="74">
        <v>294.75</v>
      </c>
      <c r="J58" s="78">
        <v>386.8</v>
      </c>
    </row>
    <row r="59" spans="2:10" ht="15.75" thickBot="1" x14ac:dyDescent="0.3">
      <c r="B59" s="68" t="s">
        <v>129</v>
      </c>
      <c r="C59" s="69">
        <v>9.68</v>
      </c>
      <c r="D59" s="69">
        <v>6.29</v>
      </c>
      <c r="E59" s="70">
        <v>8.25</v>
      </c>
      <c r="F59" s="64" t="s">
        <v>93</v>
      </c>
      <c r="G59" s="68" t="s">
        <v>93</v>
      </c>
      <c r="H59" s="69"/>
      <c r="I59" s="69"/>
      <c r="J59" s="70" t="s">
        <v>93</v>
      </c>
    </row>
    <row r="60" spans="2:10" ht="15.75" thickBot="1" x14ac:dyDescent="0.3">
      <c r="B60" s="68" t="s">
        <v>131</v>
      </c>
      <c r="C60" s="69">
        <v>7.95</v>
      </c>
      <c r="D60" s="69">
        <v>7.86</v>
      </c>
      <c r="E60" s="70">
        <v>6.58</v>
      </c>
      <c r="F60" s="64" t="s">
        <v>93</v>
      </c>
      <c r="G60" s="81" t="s">
        <v>132</v>
      </c>
      <c r="H60" s="82">
        <v>371.41</v>
      </c>
      <c r="I60" s="95">
        <v>222.35</v>
      </c>
      <c r="J60" s="83">
        <v>280.10000000000002</v>
      </c>
    </row>
    <row r="61" spans="2:10" x14ac:dyDescent="0.25">
      <c r="B61" s="68" t="s">
        <v>133</v>
      </c>
      <c r="C61" s="71">
        <v>-1.9</v>
      </c>
      <c r="D61" s="71">
        <v>-0.71</v>
      </c>
      <c r="E61" s="72">
        <v>-1.47</v>
      </c>
      <c r="F61" s="64" t="s">
        <v>93</v>
      </c>
      <c r="G61" s="64"/>
      <c r="H61" s="64"/>
      <c r="I61" s="64"/>
      <c r="J61" s="64"/>
    </row>
    <row r="62" spans="2:10" x14ac:dyDescent="0.25">
      <c r="B62" s="77" t="s">
        <v>134</v>
      </c>
      <c r="C62" s="74">
        <v>55.47</v>
      </c>
      <c r="D62" s="74">
        <v>44.38</v>
      </c>
      <c r="E62" s="78">
        <v>46.6</v>
      </c>
      <c r="F62" s="64" t="s">
        <v>93</v>
      </c>
      <c r="G62" s="64"/>
      <c r="H62" s="64"/>
      <c r="I62" s="64"/>
      <c r="J62" s="64"/>
    </row>
    <row r="63" spans="2:10" x14ac:dyDescent="0.25">
      <c r="B63" s="68" t="s">
        <v>93</v>
      </c>
      <c r="C63" s="69" t="s">
        <v>93</v>
      </c>
      <c r="D63" s="69"/>
      <c r="E63" s="70" t="s">
        <v>93</v>
      </c>
      <c r="F63" s="64" t="s">
        <v>93</v>
      </c>
      <c r="G63" s="64" t="s">
        <v>93</v>
      </c>
      <c r="H63" s="64" t="s">
        <v>93</v>
      </c>
      <c r="I63" s="64" t="s">
        <v>93</v>
      </c>
      <c r="J63" s="64" t="s">
        <v>93</v>
      </c>
    </row>
    <row r="64" spans="2:10" x14ac:dyDescent="0.25">
      <c r="B64" s="68" t="s">
        <v>135</v>
      </c>
      <c r="C64" s="69">
        <v>87.53</v>
      </c>
      <c r="D64" s="69">
        <v>41.39</v>
      </c>
      <c r="E64" s="70">
        <v>68.25</v>
      </c>
      <c r="F64" s="64" t="s">
        <v>93</v>
      </c>
      <c r="G64" s="64" t="s">
        <v>93</v>
      </c>
      <c r="H64" s="64" t="s">
        <v>93</v>
      </c>
      <c r="I64" s="64" t="s">
        <v>93</v>
      </c>
      <c r="J64" s="64" t="s">
        <v>93</v>
      </c>
    </row>
    <row r="65" spans="2:10" ht="15.75" thickBot="1" x14ac:dyDescent="0.3">
      <c r="B65" s="68" t="s">
        <v>136</v>
      </c>
      <c r="C65" s="69">
        <v>11.99</v>
      </c>
      <c r="D65" s="69">
        <v>5.67</v>
      </c>
      <c r="E65" s="70">
        <v>9.35</v>
      </c>
      <c r="F65" s="64" t="s">
        <v>93</v>
      </c>
      <c r="G65" s="64" t="s">
        <v>93</v>
      </c>
      <c r="H65" s="64" t="s">
        <v>93</v>
      </c>
      <c r="I65" s="64" t="s">
        <v>93</v>
      </c>
      <c r="J65" s="64" t="s">
        <v>93</v>
      </c>
    </row>
    <row r="66" spans="2:10" ht="15.75" thickBot="1" x14ac:dyDescent="0.3">
      <c r="B66" s="81" t="s">
        <v>137</v>
      </c>
      <c r="C66" s="82">
        <v>75.540000000000006</v>
      </c>
      <c r="D66" s="95">
        <v>35.72</v>
      </c>
      <c r="E66" s="83">
        <v>58.9</v>
      </c>
      <c r="F66" s="64" t="s">
        <v>93</v>
      </c>
      <c r="G66" s="64" t="s">
        <v>93</v>
      </c>
      <c r="H66" s="64" t="s">
        <v>93</v>
      </c>
      <c r="I66" s="64" t="s">
        <v>93</v>
      </c>
      <c r="J66" s="64" t="s">
        <v>93</v>
      </c>
    </row>
    <row r="69" spans="2:10" x14ac:dyDescent="0.25">
      <c r="B69" s="77" t="s">
        <v>0</v>
      </c>
      <c r="C69" s="74">
        <f>C51*1000000</f>
        <v>156924999.99999997</v>
      </c>
      <c r="D69" s="74">
        <f t="shared" ref="D69:E69" si="7">D51*1000000</f>
        <v>95312500.000000015</v>
      </c>
      <c r="E69" s="74">
        <f t="shared" si="7"/>
        <v>122544000</v>
      </c>
    </row>
    <row r="70" spans="2:10" x14ac:dyDescent="0.25">
      <c r="B70" s="73" t="s">
        <v>1</v>
      </c>
      <c r="C70" s="74">
        <f>C57*1000000</f>
        <v>41774500</v>
      </c>
      <c r="D70" s="74">
        <f t="shared" ref="D70:E71" si="8">D57*1000000</f>
        <v>32577000</v>
      </c>
      <c r="E70" s="74">
        <f t="shared" si="8"/>
        <v>34948499.999999993</v>
      </c>
    </row>
    <row r="71" spans="2:10" x14ac:dyDescent="0.25">
      <c r="B71" s="68" t="s">
        <v>2</v>
      </c>
      <c r="C71" s="94">
        <f>C58*1000000</f>
        <v>13221499.999999998</v>
      </c>
      <c r="D71" s="94">
        <f t="shared" si="8"/>
        <v>10578750</v>
      </c>
      <c r="E71" s="94">
        <f t="shared" si="8"/>
        <v>11105750</v>
      </c>
    </row>
    <row r="72" spans="2:10" x14ac:dyDescent="0.25">
      <c r="B72" s="5" t="s">
        <v>3</v>
      </c>
      <c r="C72">
        <f>SUM(C59:C61)*1000000</f>
        <v>15729999.999999998</v>
      </c>
      <c r="D72">
        <f t="shared" ref="D72:E72" si="9">SUM(D59:D61)*1000000</f>
        <v>13440000.000000002</v>
      </c>
      <c r="E72">
        <f t="shared" si="9"/>
        <v>13360000</v>
      </c>
    </row>
  </sheetData>
  <mergeCells count="2">
    <mergeCell ref="B1:E1"/>
    <mergeCell ref="G1:J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BC9F1-3480-42FE-A4A4-9FE72460191F}">
  <dimension ref="A1:K72"/>
  <sheetViews>
    <sheetView topLeftCell="A47" zoomScaleNormal="100" workbookViewId="0">
      <selection activeCell="R21" sqref="R21"/>
    </sheetView>
  </sheetViews>
  <sheetFormatPr defaultRowHeight="15" x14ac:dyDescent="0.25"/>
  <cols>
    <col min="2" max="2" width="31" customWidth="1"/>
    <col min="3" max="4" width="14.140625" bestFit="1" customWidth="1"/>
    <col min="5" max="5" width="9.140625" bestFit="1" customWidth="1"/>
    <col min="6" max="6" width="14.140625" bestFit="1" customWidth="1"/>
    <col min="7" max="7" width="14" bestFit="1" customWidth="1"/>
    <col min="8" max="8" width="11.42578125" customWidth="1"/>
    <col min="9" max="9" width="10.7109375" customWidth="1"/>
  </cols>
  <sheetData>
    <row r="1" spans="1:11" x14ac:dyDescent="0.25">
      <c r="A1" s="97" t="s">
        <v>93</v>
      </c>
      <c r="B1" s="243" t="s">
        <v>145</v>
      </c>
      <c r="C1" s="244"/>
      <c r="D1" s="244"/>
      <c r="E1" s="244"/>
      <c r="F1" s="244"/>
      <c r="G1" s="244"/>
      <c r="H1" s="244"/>
      <c r="I1" s="245"/>
      <c r="J1" s="97" t="s">
        <v>93</v>
      </c>
      <c r="K1" s="97" t="s">
        <v>93</v>
      </c>
    </row>
    <row r="2" spans="1:11" ht="15.75" thickBot="1" x14ac:dyDescent="0.3">
      <c r="A2" s="97" t="s">
        <v>93</v>
      </c>
      <c r="B2" s="246" t="s">
        <v>146</v>
      </c>
      <c r="C2" s="247"/>
      <c r="D2" s="247"/>
      <c r="E2" s="247"/>
      <c r="F2" s="247"/>
      <c r="G2" s="247"/>
      <c r="H2" s="247"/>
      <c r="I2" s="248"/>
      <c r="J2" s="97" t="s">
        <v>93</v>
      </c>
      <c r="K2" s="97" t="s">
        <v>93</v>
      </c>
    </row>
    <row r="3" spans="1:11" ht="15.75" thickBot="1" x14ac:dyDescent="0.3">
      <c r="A3" s="97" t="s">
        <v>93</v>
      </c>
      <c r="B3" s="249" t="s">
        <v>147</v>
      </c>
      <c r="C3" s="250"/>
      <c r="D3" s="250"/>
      <c r="E3" s="250"/>
      <c r="F3" s="250"/>
      <c r="G3" s="250"/>
      <c r="H3" s="250"/>
      <c r="I3" s="251"/>
      <c r="J3" s="97" t="s">
        <v>93</v>
      </c>
      <c r="K3" s="97" t="s">
        <v>93</v>
      </c>
    </row>
    <row r="4" spans="1:11" ht="15.75" thickBot="1" x14ac:dyDescent="0.3">
      <c r="A4" s="97" t="s">
        <v>93</v>
      </c>
      <c r="B4" s="98" t="s">
        <v>93</v>
      </c>
      <c r="C4" s="97" t="s">
        <v>93</v>
      </c>
      <c r="D4" s="97" t="s">
        <v>93</v>
      </c>
      <c r="E4" s="97" t="s">
        <v>93</v>
      </c>
      <c r="F4" s="97" t="s">
        <v>93</v>
      </c>
      <c r="G4" s="97" t="s">
        <v>93</v>
      </c>
      <c r="H4" s="97" t="s">
        <v>93</v>
      </c>
      <c r="I4" s="97" t="s">
        <v>93</v>
      </c>
      <c r="J4" s="97" t="s">
        <v>93</v>
      </c>
      <c r="K4" s="97" t="s">
        <v>93</v>
      </c>
    </row>
    <row r="5" spans="1:11" ht="15.75" thickBot="1" x14ac:dyDescent="0.3">
      <c r="A5" s="97" t="s">
        <v>93</v>
      </c>
      <c r="B5" s="98" t="s">
        <v>93</v>
      </c>
      <c r="C5" s="252" t="s">
        <v>148</v>
      </c>
      <c r="D5" s="253"/>
      <c r="E5" s="253"/>
      <c r="F5" s="253"/>
      <c r="G5" s="254"/>
      <c r="H5" s="253" t="s">
        <v>149</v>
      </c>
      <c r="I5" s="254"/>
      <c r="J5" s="97" t="s">
        <v>93</v>
      </c>
      <c r="K5" s="97" t="s">
        <v>93</v>
      </c>
    </row>
    <row r="6" spans="1:11" ht="15.75" thickBot="1" x14ac:dyDescent="0.3">
      <c r="A6" s="97" t="s">
        <v>93</v>
      </c>
      <c r="B6" s="99" t="s">
        <v>150</v>
      </c>
      <c r="C6" s="100">
        <v>44926</v>
      </c>
      <c r="D6" s="101">
        <v>44834</v>
      </c>
      <c r="E6" s="102">
        <v>44742</v>
      </c>
      <c r="F6" s="102">
        <v>44651</v>
      </c>
      <c r="G6" s="102">
        <v>44561</v>
      </c>
      <c r="H6" s="102">
        <v>44926</v>
      </c>
      <c r="I6" s="102">
        <v>44561</v>
      </c>
      <c r="J6" s="97" t="s">
        <v>93</v>
      </c>
      <c r="K6" s="97" t="s">
        <v>93</v>
      </c>
    </row>
    <row r="7" spans="1:11" x14ac:dyDescent="0.25">
      <c r="A7" s="97" t="s">
        <v>93</v>
      </c>
      <c r="B7" s="103" t="s">
        <v>151</v>
      </c>
      <c r="C7" s="104">
        <v>188.1</v>
      </c>
      <c r="D7" s="104">
        <v>201.9</v>
      </c>
      <c r="E7" s="104">
        <v>239.7</v>
      </c>
      <c r="F7" s="104">
        <v>246.2</v>
      </c>
      <c r="G7" s="104">
        <v>233.5</v>
      </c>
      <c r="H7" s="105">
        <v>246.2</v>
      </c>
      <c r="I7" s="106">
        <v>209.3</v>
      </c>
      <c r="J7" s="97" t="s">
        <v>93</v>
      </c>
      <c r="K7" s="97" t="s">
        <v>93</v>
      </c>
    </row>
    <row r="8" spans="1:11" x14ac:dyDescent="0.25">
      <c r="A8" s="97" t="s">
        <v>93</v>
      </c>
      <c r="B8" s="107" t="s">
        <v>152</v>
      </c>
      <c r="C8" s="108">
        <v>8</v>
      </c>
      <c r="D8" s="108">
        <v>7.6</v>
      </c>
      <c r="E8" s="108">
        <v>11.4</v>
      </c>
      <c r="F8" s="108">
        <v>13.3</v>
      </c>
      <c r="G8" s="108">
        <v>7.9</v>
      </c>
      <c r="H8" s="107">
        <v>40.299999999999997</v>
      </c>
      <c r="I8" s="109">
        <v>37.299999999999997</v>
      </c>
      <c r="J8" s="97" t="s">
        <v>93</v>
      </c>
      <c r="K8" s="97" t="s">
        <v>93</v>
      </c>
    </row>
    <row r="9" spans="1:11" x14ac:dyDescent="0.25">
      <c r="A9" s="97" t="s">
        <v>93</v>
      </c>
      <c r="B9" s="107" t="s">
        <v>153</v>
      </c>
      <c r="C9" s="108">
        <v>-10.5</v>
      </c>
      <c r="D9" s="108">
        <v>-8</v>
      </c>
      <c r="E9" s="108">
        <v>-10.199999999999999</v>
      </c>
      <c r="F9" s="108">
        <v>-11</v>
      </c>
      <c r="G9" s="108">
        <v>-11.4</v>
      </c>
      <c r="H9" s="107">
        <v>-39.700000000000003</v>
      </c>
      <c r="I9" s="109">
        <v>-41.2</v>
      </c>
      <c r="J9" s="97" t="s">
        <v>93</v>
      </c>
      <c r="K9" s="97" t="s">
        <v>93</v>
      </c>
    </row>
    <row r="10" spans="1:11" x14ac:dyDescent="0.25">
      <c r="A10" s="97" t="s">
        <v>93</v>
      </c>
      <c r="B10" s="107" t="s">
        <v>154</v>
      </c>
      <c r="C10" s="108">
        <v>-2.5</v>
      </c>
      <c r="D10" s="108">
        <v>-0.4</v>
      </c>
      <c r="E10" s="108">
        <v>1.2</v>
      </c>
      <c r="F10" s="108">
        <v>2.2999999999999998</v>
      </c>
      <c r="G10" s="108">
        <v>-3.5</v>
      </c>
      <c r="H10" s="107">
        <v>0.6</v>
      </c>
      <c r="I10" s="109">
        <v>-3.9</v>
      </c>
      <c r="J10" s="97" t="s">
        <v>93</v>
      </c>
      <c r="K10" s="97" t="s">
        <v>93</v>
      </c>
    </row>
    <row r="11" spans="1:11" x14ac:dyDescent="0.25">
      <c r="A11" s="97" t="s">
        <v>93</v>
      </c>
      <c r="B11" s="107" t="s">
        <v>155</v>
      </c>
      <c r="C11" s="108">
        <v>15.2</v>
      </c>
      <c r="D11" s="108">
        <v>-12.1</v>
      </c>
      <c r="E11" s="108">
        <v>-37.200000000000003</v>
      </c>
      <c r="F11" s="108">
        <v>-17.899999999999999</v>
      </c>
      <c r="G11" s="108">
        <v>17.7</v>
      </c>
      <c r="H11" s="107">
        <v>-52</v>
      </c>
      <c r="I11" s="109">
        <v>44.1</v>
      </c>
      <c r="J11" s="97" t="s">
        <v>93</v>
      </c>
      <c r="K11" s="97" t="s">
        <v>93</v>
      </c>
    </row>
    <row r="12" spans="1:11" x14ac:dyDescent="0.25">
      <c r="A12" s="97" t="s">
        <v>93</v>
      </c>
      <c r="B12" s="107" t="s">
        <v>156</v>
      </c>
      <c r="C12" s="108">
        <v>-0.5</v>
      </c>
      <c r="D12" s="108">
        <v>-1.2</v>
      </c>
      <c r="E12" s="108">
        <v>-1.6</v>
      </c>
      <c r="F12" s="108">
        <v>-0.1</v>
      </c>
      <c r="G12" s="108">
        <v>-0.5</v>
      </c>
      <c r="H12" s="107">
        <v>-3.4</v>
      </c>
      <c r="I12" s="109">
        <v>-2.2000000000000002</v>
      </c>
      <c r="J12" s="97" t="s">
        <v>93</v>
      </c>
      <c r="K12" s="97" t="s">
        <v>93</v>
      </c>
    </row>
    <row r="13" spans="1:11" x14ac:dyDescent="0.25">
      <c r="A13" s="97" t="s">
        <v>93</v>
      </c>
      <c r="B13" s="107" t="s">
        <v>157</v>
      </c>
      <c r="C13" s="108" t="s">
        <v>158</v>
      </c>
      <c r="D13" s="108" t="s">
        <v>158</v>
      </c>
      <c r="E13" s="108" t="s">
        <v>158</v>
      </c>
      <c r="F13" s="108">
        <v>9.1999999999999993</v>
      </c>
      <c r="G13" s="108" t="s">
        <v>158</v>
      </c>
      <c r="H13" s="107">
        <v>9.1999999999999993</v>
      </c>
      <c r="I13" s="109" t="s">
        <v>158</v>
      </c>
      <c r="J13" s="97" t="s">
        <v>93</v>
      </c>
      <c r="K13" s="97" t="s">
        <v>93</v>
      </c>
    </row>
    <row r="14" spans="1:11" x14ac:dyDescent="0.25">
      <c r="A14" s="97" t="s">
        <v>93</v>
      </c>
      <c r="B14" s="107" t="s">
        <v>159</v>
      </c>
      <c r="C14" s="108" t="s">
        <v>158</v>
      </c>
      <c r="D14" s="108" t="s">
        <v>158</v>
      </c>
      <c r="E14" s="108" t="s">
        <v>158</v>
      </c>
      <c r="F14" s="108" t="s">
        <v>158</v>
      </c>
      <c r="G14" s="108">
        <v>-1</v>
      </c>
      <c r="H14" s="107" t="s">
        <v>158</v>
      </c>
      <c r="I14" s="109">
        <v>-1</v>
      </c>
      <c r="J14" s="97" t="s">
        <v>93</v>
      </c>
      <c r="K14" s="97" t="s">
        <v>93</v>
      </c>
    </row>
    <row r="15" spans="1:11" x14ac:dyDescent="0.25">
      <c r="A15" s="97" t="s">
        <v>93</v>
      </c>
      <c r="B15" s="107" t="s">
        <v>160</v>
      </c>
      <c r="C15" s="108">
        <v>0.2</v>
      </c>
      <c r="D15" s="108">
        <v>-0.1</v>
      </c>
      <c r="E15" s="108">
        <v>-0.2</v>
      </c>
      <c r="F15" s="108" t="s">
        <v>158</v>
      </c>
      <c r="G15" s="108" t="s">
        <v>158</v>
      </c>
      <c r="H15" s="107">
        <v>-0.1</v>
      </c>
      <c r="I15" s="109">
        <v>-0.1</v>
      </c>
      <c r="J15" s="97" t="s">
        <v>93</v>
      </c>
      <c r="K15" s="97" t="s">
        <v>93</v>
      </c>
    </row>
    <row r="16" spans="1:11" x14ac:dyDescent="0.25">
      <c r="A16" s="97" t="s">
        <v>93</v>
      </c>
      <c r="B16" s="103" t="s">
        <v>161</v>
      </c>
      <c r="C16" s="108">
        <v>200.5</v>
      </c>
      <c r="D16" s="108">
        <v>188.1</v>
      </c>
      <c r="E16" s="108">
        <v>201.9</v>
      </c>
      <c r="F16" s="108">
        <v>239.7</v>
      </c>
      <c r="G16" s="108">
        <v>246.2</v>
      </c>
      <c r="H16" s="107">
        <v>200.5</v>
      </c>
      <c r="I16" s="109">
        <v>246.2</v>
      </c>
      <c r="J16" s="97" t="s">
        <v>93</v>
      </c>
      <c r="K16" s="97" t="s">
        <v>93</v>
      </c>
    </row>
    <row r="17" spans="1:11" x14ac:dyDescent="0.25">
      <c r="A17" s="97" t="s">
        <v>93</v>
      </c>
      <c r="B17" s="107" t="s">
        <v>162</v>
      </c>
      <c r="C17" s="108">
        <v>0.2</v>
      </c>
      <c r="D17" s="108">
        <v>0.2</v>
      </c>
      <c r="E17" s="108">
        <v>0.2</v>
      </c>
      <c r="F17" s="108">
        <v>0.2</v>
      </c>
      <c r="G17" s="108">
        <v>0.3</v>
      </c>
      <c r="H17" s="107">
        <v>0.2</v>
      </c>
      <c r="I17" s="109">
        <v>0.3</v>
      </c>
      <c r="J17" s="97" t="s">
        <v>93</v>
      </c>
      <c r="K17" s="97" t="s">
        <v>93</v>
      </c>
    </row>
    <row r="18" spans="1:11" x14ac:dyDescent="0.25">
      <c r="A18" s="97" t="s">
        <v>93</v>
      </c>
      <c r="B18" s="110" t="s">
        <v>163</v>
      </c>
      <c r="C18" s="111">
        <v>200.7</v>
      </c>
      <c r="D18" s="111">
        <v>188.3</v>
      </c>
      <c r="E18" s="111">
        <v>202.1</v>
      </c>
      <c r="F18" s="111">
        <v>239.9</v>
      </c>
      <c r="G18" s="111">
        <v>246.5</v>
      </c>
      <c r="H18" s="112">
        <v>200.7</v>
      </c>
      <c r="I18" s="113">
        <v>246.5</v>
      </c>
      <c r="J18" s="97" t="s">
        <v>93</v>
      </c>
      <c r="K18" s="97" t="s">
        <v>93</v>
      </c>
    </row>
    <row r="19" spans="1:11" ht="15.75" thickBot="1" x14ac:dyDescent="0.3">
      <c r="A19" s="97" t="s">
        <v>93</v>
      </c>
      <c r="B19" s="103" t="s">
        <v>93</v>
      </c>
      <c r="C19" s="108"/>
      <c r="D19" s="108"/>
      <c r="E19" s="108"/>
      <c r="F19" s="108"/>
      <c r="G19" s="108"/>
      <c r="H19" s="107" t="s">
        <v>93</v>
      </c>
      <c r="I19" s="109" t="s">
        <v>93</v>
      </c>
      <c r="J19" s="97" t="s">
        <v>93</v>
      </c>
      <c r="K19" s="97" t="s">
        <v>93</v>
      </c>
    </row>
    <row r="20" spans="1:11" ht="15.75" thickBot="1" x14ac:dyDescent="0.3">
      <c r="A20" s="97" t="s">
        <v>93</v>
      </c>
      <c r="B20" s="99" t="s">
        <v>164</v>
      </c>
      <c r="C20" s="108"/>
      <c r="D20" s="108"/>
      <c r="E20" s="108"/>
      <c r="F20" s="108"/>
      <c r="G20" s="108"/>
      <c r="H20" s="107" t="s">
        <v>93</v>
      </c>
      <c r="I20" s="109" t="s">
        <v>93</v>
      </c>
      <c r="J20" s="97" t="s">
        <v>93</v>
      </c>
      <c r="K20" s="97" t="s">
        <v>93</v>
      </c>
    </row>
    <row r="21" spans="1:11" x14ac:dyDescent="0.25">
      <c r="A21" s="97" t="s">
        <v>93</v>
      </c>
      <c r="B21" s="103" t="s">
        <v>151</v>
      </c>
      <c r="C21" s="104">
        <v>141.5</v>
      </c>
      <c r="D21" s="104">
        <v>147.19999999999999</v>
      </c>
      <c r="E21" s="104">
        <v>153.1</v>
      </c>
      <c r="F21" s="104">
        <v>152.6</v>
      </c>
      <c r="G21" s="104">
        <v>154.19999999999999</v>
      </c>
      <c r="H21" s="105">
        <v>152.6</v>
      </c>
      <c r="I21" s="106">
        <v>150.1</v>
      </c>
      <c r="J21" s="97" t="s">
        <v>93</v>
      </c>
      <c r="K21" s="97" t="s">
        <v>93</v>
      </c>
    </row>
    <row r="22" spans="1:11" x14ac:dyDescent="0.25">
      <c r="A22" s="97" t="s">
        <v>93</v>
      </c>
      <c r="B22" s="107" t="s">
        <v>152</v>
      </c>
      <c r="C22" s="108">
        <v>6.1</v>
      </c>
      <c r="D22" s="108">
        <v>7</v>
      </c>
      <c r="E22" s="108">
        <v>6.5</v>
      </c>
      <c r="F22" s="108">
        <v>6.9</v>
      </c>
      <c r="G22" s="108">
        <v>5.2</v>
      </c>
      <c r="H22" s="107">
        <v>26.5</v>
      </c>
      <c r="I22" s="109">
        <v>28.2</v>
      </c>
      <c r="J22" s="97" t="s">
        <v>93</v>
      </c>
      <c r="K22" s="97" t="s">
        <v>93</v>
      </c>
    </row>
    <row r="23" spans="1:11" x14ac:dyDescent="0.25">
      <c r="A23" s="97" t="s">
        <v>93</v>
      </c>
      <c r="B23" s="107" t="s">
        <v>153</v>
      </c>
      <c r="C23" s="108">
        <v>-7.8</v>
      </c>
      <c r="D23" s="108">
        <v>-7.1</v>
      </c>
      <c r="E23" s="108">
        <v>-7.4</v>
      </c>
      <c r="F23" s="108">
        <v>-8.3000000000000007</v>
      </c>
      <c r="G23" s="108">
        <v>-7.1</v>
      </c>
      <c r="H23" s="107">
        <v>-30.6</v>
      </c>
      <c r="I23" s="109">
        <v>-27.6</v>
      </c>
      <c r="J23" s="97" t="s">
        <v>93</v>
      </c>
      <c r="K23" s="97" t="s">
        <v>93</v>
      </c>
    </row>
    <row r="24" spans="1:11" x14ac:dyDescent="0.25">
      <c r="A24" s="97" t="s">
        <v>93</v>
      </c>
      <c r="B24" s="107" t="s">
        <v>154</v>
      </c>
      <c r="C24" s="108">
        <v>-1.7</v>
      </c>
      <c r="D24" s="108">
        <v>-0.1</v>
      </c>
      <c r="E24" s="108">
        <v>-0.9</v>
      </c>
      <c r="F24" s="108">
        <v>-1.4</v>
      </c>
      <c r="G24" s="108">
        <v>-1.9</v>
      </c>
      <c r="H24" s="107">
        <v>-4.0999999999999996</v>
      </c>
      <c r="I24" s="109">
        <v>0.6</v>
      </c>
      <c r="J24" s="97" t="s">
        <v>93</v>
      </c>
      <c r="K24" s="97" t="s">
        <v>93</v>
      </c>
    </row>
    <row r="25" spans="1:11" x14ac:dyDescent="0.25">
      <c r="A25" s="97" t="s">
        <v>93</v>
      </c>
      <c r="B25" s="107" t="s">
        <v>155</v>
      </c>
      <c r="C25" s="108">
        <v>3.3</v>
      </c>
      <c r="D25" s="108">
        <v>-6.5</v>
      </c>
      <c r="E25" s="108">
        <v>-7.1</v>
      </c>
      <c r="F25" s="108">
        <v>-7.1</v>
      </c>
      <c r="G25" s="108">
        <v>-0.2</v>
      </c>
      <c r="H25" s="107">
        <v>-17.399999999999999</v>
      </c>
      <c r="I25" s="109">
        <v>-0.4</v>
      </c>
      <c r="J25" s="97" t="s">
        <v>93</v>
      </c>
      <c r="K25" s="97" t="s">
        <v>93</v>
      </c>
    </row>
    <row r="26" spans="1:11" x14ac:dyDescent="0.25">
      <c r="A26" s="97" t="s">
        <v>93</v>
      </c>
      <c r="B26" s="107" t="s">
        <v>165</v>
      </c>
      <c r="C26" s="108">
        <v>0.9</v>
      </c>
      <c r="D26" s="108">
        <v>0.9</v>
      </c>
      <c r="E26" s="108">
        <v>2.2000000000000002</v>
      </c>
      <c r="F26" s="108">
        <v>0.1</v>
      </c>
      <c r="G26" s="108">
        <v>0.8</v>
      </c>
      <c r="H26" s="107">
        <v>4.0999999999999996</v>
      </c>
      <c r="I26" s="109">
        <v>2.6</v>
      </c>
      <c r="J26" s="97" t="s">
        <v>93</v>
      </c>
      <c r="K26" s="97" t="s">
        <v>93</v>
      </c>
    </row>
    <row r="27" spans="1:11" x14ac:dyDescent="0.25">
      <c r="A27" s="97" t="s">
        <v>93</v>
      </c>
      <c r="B27" s="107" t="s">
        <v>157</v>
      </c>
      <c r="C27" s="108" t="s">
        <v>158</v>
      </c>
      <c r="D27" s="108" t="s">
        <v>158</v>
      </c>
      <c r="E27" s="108" t="s">
        <v>158</v>
      </c>
      <c r="F27" s="108">
        <v>8.9</v>
      </c>
      <c r="G27" s="108" t="s">
        <v>158</v>
      </c>
      <c r="H27" s="107">
        <v>8.9</v>
      </c>
      <c r="I27" s="109" t="s">
        <v>158</v>
      </c>
      <c r="J27" s="97" t="s">
        <v>93</v>
      </c>
      <c r="K27" s="97" t="s">
        <v>93</v>
      </c>
    </row>
    <row r="28" spans="1:11" x14ac:dyDescent="0.25">
      <c r="A28" s="97" t="s">
        <v>93</v>
      </c>
      <c r="B28" s="107" t="s">
        <v>159</v>
      </c>
      <c r="C28" s="108" t="s">
        <v>158</v>
      </c>
      <c r="D28" s="108" t="s">
        <v>158</v>
      </c>
      <c r="E28" s="108" t="s">
        <v>158</v>
      </c>
      <c r="F28" s="108" t="s">
        <v>158</v>
      </c>
      <c r="G28" s="108">
        <v>-0.2</v>
      </c>
      <c r="H28" s="107" t="s">
        <v>158</v>
      </c>
      <c r="I28" s="109">
        <v>-0.2</v>
      </c>
      <c r="J28" s="97" t="s">
        <v>93</v>
      </c>
      <c r="K28" s="97" t="s">
        <v>93</v>
      </c>
    </row>
    <row r="29" spans="1:11" x14ac:dyDescent="0.25">
      <c r="A29" s="97" t="s">
        <v>93</v>
      </c>
      <c r="B29" s="107" t="s">
        <v>160</v>
      </c>
      <c r="C29" s="108" t="s">
        <v>158</v>
      </c>
      <c r="D29" s="108" t="s">
        <v>158</v>
      </c>
      <c r="E29" s="108">
        <v>-0.1</v>
      </c>
      <c r="F29" s="108" t="s">
        <v>158</v>
      </c>
      <c r="G29" s="108">
        <v>-0.1</v>
      </c>
      <c r="H29" s="107">
        <v>-0.1</v>
      </c>
      <c r="I29" s="109">
        <v>-0.1</v>
      </c>
      <c r="J29" s="97" t="s">
        <v>93</v>
      </c>
      <c r="K29" s="97" t="s">
        <v>93</v>
      </c>
    </row>
    <row r="30" spans="1:11" x14ac:dyDescent="0.25">
      <c r="A30" s="97" t="s">
        <v>93</v>
      </c>
      <c r="B30" s="103" t="s">
        <v>161</v>
      </c>
      <c r="C30" s="108">
        <v>144</v>
      </c>
      <c r="D30" s="108">
        <v>141.5</v>
      </c>
      <c r="E30" s="108">
        <v>147.19999999999999</v>
      </c>
      <c r="F30" s="108">
        <v>153.1</v>
      </c>
      <c r="G30" s="108">
        <v>152.6</v>
      </c>
      <c r="H30" s="107">
        <v>144</v>
      </c>
      <c r="I30" s="109">
        <v>152.6</v>
      </c>
      <c r="J30" s="97" t="s">
        <v>93</v>
      </c>
      <c r="K30" s="97" t="s">
        <v>93</v>
      </c>
    </row>
    <row r="31" spans="1:11" x14ac:dyDescent="0.25">
      <c r="A31" s="97" t="s">
        <v>93</v>
      </c>
      <c r="B31" s="107" t="s">
        <v>166</v>
      </c>
      <c r="C31" s="108">
        <v>45.2</v>
      </c>
      <c r="D31" s="108">
        <v>43.9</v>
      </c>
      <c r="E31" s="108">
        <v>45.5</v>
      </c>
      <c r="F31" s="108">
        <v>69.5</v>
      </c>
      <c r="G31" s="108">
        <v>75.8</v>
      </c>
      <c r="H31" s="107">
        <v>45.2</v>
      </c>
      <c r="I31" s="109">
        <v>75.8</v>
      </c>
      <c r="J31" s="97" t="s">
        <v>93</v>
      </c>
      <c r="K31" s="97" t="s">
        <v>93</v>
      </c>
    </row>
    <row r="32" spans="1:11" x14ac:dyDescent="0.25">
      <c r="A32" s="97" t="s">
        <v>93</v>
      </c>
      <c r="B32" s="110" t="s">
        <v>167</v>
      </c>
      <c r="C32" s="111">
        <v>189.2</v>
      </c>
      <c r="D32" s="111">
        <v>185.4</v>
      </c>
      <c r="E32" s="111">
        <v>192.7</v>
      </c>
      <c r="F32" s="111">
        <v>222.6</v>
      </c>
      <c r="G32" s="111">
        <v>228.4</v>
      </c>
      <c r="H32" s="112">
        <v>189.2</v>
      </c>
      <c r="I32" s="113">
        <v>228.4</v>
      </c>
      <c r="J32" s="97" t="s">
        <v>93</v>
      </c>
      <c r="K32" s="97" t="s">
        <v>93</v>
      </c>
    </row>
    <row r="33" spans="1:11" ht="15.75" thickBot="1" x14ac:dyDescent="0.3">
      <c r="A33" s="97" t="s">
        <v>93</v>
      </c>
      <c r="B33" s="103" t="s">
        <v>93</v>
      </c>
      <c r="C33" s="108"/>
      <c r="D33" s="108"/>
      <c r="E33" s="108"/>
      <c r="F33" s="108"/>
      <c r="G33" s="108"/>
      <c r="H33" s="107" t="s">
        <v>93</v>
      </c>
      <c r="I33" s="109" t="s">
        <v>93</v>
      </c>
      <c r="J33" s="97" t="s">
        <v>93</v>
      </c>
      <c r="K33" s="97" t="s">
        <v>93</v>
      </c>
    </row>
    <row r="34" spans="1:11" ht="15.75" thickBot="1" x14ac:dyDescent="0.3">
      <c r="A34" s="97" t="s">
        <v>93</v>
      </c>
      <c r="B34" s="99" t="s">
        <v>168</v>
      </c>
      <c r="C34" s="108"/>
      <c r="D34" s="108"/>
      <c r="E34" s="108"/>
      <c r="F34" s="108"/>
      <c r="G34" s="108"/>
      <c r="H34" s="107" t="s">
        <v>93</v>
      </c>
      <c r="I34" s="109" t="s">
        <v>93</v>
      </c>
      <c r="J34" s="97" t="s">
        <v>93</v>
      </c>
      <c r="K34" s="97" t="s">
        <v>93</v>
      </c>
    </row>
    <row r="35" spans="1:11" x14ac:dyDescent="0.25">
      <c r="A35" s="97" t="s">
        <v>93</v>
      </c>
      <c r="B35" s="103" t="s">
        <v>151</v>
      </c>
      <c r="C35" s="104">
        <v>57.6</v>
      </c>
      <c r="D35" s="104">
        <v>56.7</v>
      </c>
      <c r="E35" s="104">
        <v>53.4</v>
      </c>
      <c r="F35" s="104">
        <v>49.6</v>
      </c>
      <c r="G35" s="104">
        <v>45.6</v>
      </c>
      <c r="H35" s="105">
        <v>49.6</v>
      </c>
      <c r="I35" s="106">
        <v>41.5</v>
      </c>
      <c r="J35" s="97" t="s">
        <v>93</v>
      </c>
      <c r="K35" s="97" t="s">
        <v>93</v>
      </c>
    </row>
    <row r="36" spans="1:11" x14ac:dyDescent="0.25">
      <c r="A36" s="97" t="s">
        <v>93</v>
      </c>
      <c r="B36" s="107" t="s">
        <v>152</v>
      </c>
      <c r="C36" s="108">
        <v>1.7</v>
      </c>
      <c r="D36" s="108">
        <v>2.8</v>
      </c>
      <c r="E36" s="108">
        <v>2</v>
      </c>
      <c r="F36" s="108">
        <v>3.1</v>
      </c>
      <c r="G36" s="108">
        <v>2.9</v>
      </c>
      <c r="H36" s="107">
        <v>9.6</v>
      </c>
      <c r="I36" s="109">
        <v>7.7</v>
      </c>
      <c r="J36" s="97" t="s">
        <v>93</v>
      </c>
      <c r="K36" s="97" t="s">
        <v>93</v>
      </c>
    </row>
    <row r="37" spans="1:11" x14ac:dyDescent="0.25">
      <c r="A37" s="97" t="s">
        <v>93</v>
      </c>
      <c r="B37" s="107" t="s">
        <v>153</v>
      </c>
      <c r="C37" s="108">
        <v>-0.9</v>
      </c>
      <c r="D37" s="108">
        <v>-0.9</v>
      </c>
      <c r="E37" s="108">
        <v>-1.5</v>
      </c>
      <c r="F37" s="108">
        <v>-1.3</v>
      </c>
      <c r="G37" s="108">
        <v>-1.7</v>
      </c>
      <c r="H37" s="107">
        <v>-4.5999999999999996</v>
      </c>
      <c r="I37" s="109">
        <v>-6.2</v>
      </c>
      <c r="J37" s="97" t="s">
        <v>93</v>
      </c>
      <c r="K37" s="97" t="s">
        <v>93</v>
      </c>
    </row>
    <row r="38" spans="1:11" x14ac:dyDescent="0.25">
      <c r="A38" s="97" t="s">
        <v>93</v>
      </c>
      <c r="B38" s="107" t="s">
        <v>154</v>
      </c>
      <c r="C38" s="108">
        <v>0.8</v>
      </c>
      <c r="D38" s="108">
        <v>1.9</v>
      </c>
      <c r="E38" s="108">
        <v>0.5</v>
      </c>
      <c r="F38" s="108">
        <v>1.8</v>
      </c>
      <c r="G38" s="108">
        <v>1.2</v>
      </c>
      <c r="H38" s="107">
        <v>5</v>
      </c>
      <c r="I38" s="109">
        <v>1.5</v>
      </c>
      <c r="J38" s="97" t="s">
        <v>93</v>
      </c>
      <c r="K38" s="97" t="s">
        <v>93</v>
      </c>
    </row>
    <row r="39" spans="1:11" x14ac:dyDescent="0.25">
      <c r="A39" s="97" t="s">
        <v>93</v>
      </c>
      <c r="B39" s="107" t="s">
        <v>155</v>
      </c>
      <c r="C39" s="108">
        <v>-1.3</v>
      </c>
      <c r="D39" s="108">
        <v>-0.8</v>
      </c>
      <c r="E39" s="108">
        <v>0.6</v>
      </c>
      <c r="F39" s="108">
        <v>1.7</v>
      </c>
      <c r="G39" s="108">
        <v>2.7</v>
      </c>
      <c r="H39" s="107">
        <v>0.2</v>
      </c>
      <c r="I39" s="109">
        <v>6.6</v>
      </c>
      <c r="J39" s="97" t="s">
        <v>93</v>
      </c>
      <c r="K39" s="97" t="s">
        <v>93</v>
      </c>
    </row>
    <row r="40" spans="1:11" x14ac:dyDescent="0.25">
      <c r="A40" s="97" t="s">
        <v>93</v>
      </c>
      <c r="B40" s="107" t="s">
        <v>165</v>
      </c>
      <c r="C40" s="108">
        <v>-0.4</v>
      </c>
      <c r="D40" s="108">
        <v>0.2</v>
      </c>
      <c r="E40" s="108">
        <v>2.6</v>
      </c>
      <c r="F40" s="108">
        <v>-0.3</v>
      </c>
      <c r="G40" s="108">
        <v>0.1</v>
      </c>
      <c r="H40" s="107">
        <v>2.1</v>
      </c>
      <c r="I40" s="109">
        <v>0.3</v>
      </c>
      <c r="J40" s="97" t="s">
        <v>93</v>
      </c>
      <c r="K40" s="97" t="s">
        <v>93</v>
      </c>
    </row>
    <row r="41" spans="1:11" x14ac:dyDescent="0.25">
      <c r="A41" s="97" t="s">
        <v>93</v>
      </c>
      <c r="B41" s="107" t="s">
        <v>157</v>
      </c>
      <c r="C41" s="108" t="s">
        <v>158</v>
      </c>
      <c r="D41" s="108" t="s">
        <v>158</v>
      </c>
      <c r="E41" s="108" t="s">
        <v>158</v>
      </c>
      <c r="F41" s="108">
        <v>0.5</v>
      </c>
      <c r="G41" s="108" t="s">
        <v>158</v>
      </c>
      <c r="H41" s="107">
        <v>0.5</v>
      </c>
      <c r="I41" s="109" t="s">
        <v>158</v>
      </c>
      <c r="J41" s="97" t="s">
        <v>93</v>
      </c>
      <c r="K41" s="97" t="s">
        <v>93</v>
      </c>
    </row>
    <row r="42" spans="1:11" x14ac:dyDescent="0.25">
      <c r="A42" s="97" t="s">
        <v>93</v>
      </c>
      <c r="B42" s="107" t="s">
        <v>159</v>
      </c>
      <c r="C42" s="108" t="s">
        <v>158</v>
      </c>
      <c r="D42" s="108" t="s">
        <v>158</v>
      </c>
      <c r="E42" s="108" t="s">
        <v>158</v>
      </c>
      <c r="F42" s="108" t="s">
        <v>158</v>
      </c>
      <c r="G42" s="108" t="s">
        <v>158</v>
      </c>
      <c r="H42" s="107" t="s">
        <v>158</v>
      </c>
      <c r="I42" s="109" t="s">
        <v>158</v>
      </c>
      <c r="J42" s="97" t="s">
        <v>93</v>
      </c>
      <c r="K42" s="97" t="s">
        <v>93</v>
      </c>
    </row>
    <row r="43" spans="1:11" x14ac:dyDescent="0.25">
      <c r="A43" s="97" t="s">
        <v>93</v>
      </c>
      <c r="B43" s="107" t="s">
        <v>160</v>
      </c>
      <c r="C43" s="108">
        <v>0.3</v>
      </c>
      <c r="D43" s="108">
        <v>-0.4</v>
      </c>
      <c r="E43" s="108">
        <v>-0.4</v>
      </c>
      <c r="F43" s="108">
        <v>0.1</v>
      </c>
      <c r="G43" s="108" t="s">
        <v>158</v>
      </c>
      <c r="H43" s="107">
        <v>-0.4</v>
      </c>
      <c r="I43" s="109">
        <v>-0.3</v>
      </c>
      <c r="J43" s="97" t="s">
        <v>93</v>
      </c>
      <c r="K43" s="97" t="s">
        <v>93</v>
      </c>
    </row>
    <row r="44" spans="1:11" x14ac:dyDescent="0.25">
      <c r="A44" s="97" t="s">
        <v>93</v>
      </c>
      <c r="B44" s="103" t="s">
        <v>161</v>
      </c>
      <c r="C44" s="108">
        <v>57</v>
      </c>
      <c r="D44" s="108">
        <v>57.6</v>
      </c>
      <c r="E44" s="108">
        <v>56.7</v>
      </c>
      <c r="F44" s="108">
        <v>53.4</v>
      </c>
      <c r="G44" s="108">
        <v>49.6</v>
      </c>
      <c r="H44" s="107">
        <v>57</v>
      </c>
      <c r="I44" s="109">
        <v>49.6</v>
      </c>
      <c r="J44" s="97" t="s">
        <v>93</v>
      </c>
      <c r="K44" s="97" t="s">
        <v>93</v>
      </c>
    </row>
    <row r="45" spans="1:11" x14ac:dyDescent="0.25">
      <c r="A45" s="97" t="s">
        <v>93</v>
      </c>
      <c r="B45" s="107" t="s">
        <v>169</v>
      </c>
      <c r="C45" s="108">
        <v>17.8</v>
      </c>
      <c r="D45" s="108">
        <v>18.100000000000001</v>
      </c>
      <c r="E45" s="108">
        <v>18.3</v>
      </c>
      <c r="F45" s="108">
        <v>21.5</v>
      </c>
      <c r="G45" s="108">
        <v>22</v>
      </c>
      <c r="H45" s="107">
        <v>17.8</v>
      </c>
      <c r="I45" s="109">
        <v>22</v>
      </c>
      <c r="J45" s="97" t="s">
        <v>93</v>
      </c>
      <c r="K45" s="97" t="s">
        <v>93</v>
      </c>
    </row>
    <row r="46" spans="1:11" x14ac:dyDescent="0.25">
      <c r="A46" s="97" t="s">
        <v>93</v>
      </c>
      <c r="B46" s="110" t="s">
        <v>170</v>
      </c>
      <c r="C46" s="111">
        <v>74.8</v>
      </c>
      <c r="D46" s="111">
        <v>75.7</v>
      </c>
      <c r="E46" s="111">
        <v>75</v>
      </c>
      <c r="F46" s="111">
        <v>74.900000000000006</v>
      </c>
      <c r="G46" s="111">
        <v>71.599999999999994</v>
      </c>
      <c r="H46" s="112">
        <v>74.8</v>
      </c>
      <c r="I46" s="113">
        <v>71.599999999999994</v>
      </c>
      <c r="J46" s="97" t="s">
        <v>93</v>
      </c>
      <c r="K46" s="97" t="s">
        <v>93</v>
      </c>
    </row>
    <row r="47" spans="1:11" ht="15.75" thickBot="1" x14ac:dyDescent="0.3">
      <c r="A47" s="97" t="s">
        <v>93</v>
      </c>
      <c r="B47" s="103" t="s">
        <v>93</v>
      </c>
      <c r="C47" s="108"/>
      <c r="D47" s="108"/>
      <c r="E47" s="108"/>
      <c r="F47" s="108"/>
      <c r="G47" s="108"/>
      <c r="H47" s="107" t="s">
        <v>93</v>
      </c>
      <c r="I47" s="109" t="s">
        <v>93</v>
      </c>
      <c r="J47" s="97" t="s">
        <v>93</v>
      </c>
      <c r="K47" s="97" t="s">
        <v>93</v>
      </c>
    </row>
    <row r="48" spans="1:11" ht="15.75" thickBot="1" x14ac:dyDescent="0.3">
      <c r="A48" s="97" t="s">
        <v>93</v>
      </c>
      <c r="B48" s="99" t="s">
        <v>171</v>
      </c>
      <c r="C48" s="108"/>
      <c r="D48" s="108"/>
      <c r="E48" s="108"/>
      <c r="F48" s="108"/>
      <c r="G48" s="108"/>
      <c r="H48" s="107" t="s">
        <v>93</v>
      </c>
      <c r="I48" s="109" t="s">
        <v>93</v>
      </c>
      <c r="J48" s="97" t="s">
        <v>93</v>
      </c>
      <c r="K48" s="97" t="s">
        <v>93</v>
      </c>
    </row>
    <row r="49" spans="1:11" x14ac:dyDescent="0.25">
      <c r="A49" s="97" t="s">
        <v>93</v>
      </c>
      <c r="B49" s="103" t="s">
        <v>151</v>
      </c>
      <c r="C49" s="104">
        <v>387.2</v>
      </c>
      <c r="D49" s="104">
        <v>405.8</v>
      </c>
      <c r="E49" s="104">
        <v>446.2</v>
      </c>
      <c r="F49" s="104">
        <v>448.4</v>
      </c>
      <c r="G49" s="104">
        <v>433.3</v>
      </c>
      <c r="H49" s="105">
        <v>448.4</v>
      </c>
      <c r="I49" s="106">
        <v>400.9</v>
      </c>
      <c r="J49" s="97" t="s">
        <v>93</v>
      </c>
      <c r="K49" s="97" t="s">
        <v>93</v>
      </c>
    </row>
    <row r="50" spans="1:11" x14ac:dyDescent="0.25">
      <c r="A50" s="97" t="s">
        <v>93</v>
      </c>
      <c r="B50" s="107" t="s">
        <v>152</v>
      </c>
      <c r="C50" s="108">
        <v>15.8</v>
      </c>
      <c r="D50" s="108">
        <v>17.399999999999999</v>
      </c>
      <c r="E50" s="108">
        <v>19.899999999999999</v>
      </c>
      <c r="F50" s="108">
        <v>23.3</v>
      </c>
      <c r="G50" s="108">
        <v>16</v>
      </c>
      <c r="H50" s="107">
        <v>76.400000000000006</v>
      </c>
      <c r="I50" s="109">
        <v>73.2</v>
      </c>
      <c r="J50" s="97" t="s">
        <v>93</v>
      </c>
      <c r="K50" s="97" t="s">
        <v>93</v>
      </c>
    </row>
    <row r="51" spans="1:11" x14ac:dyDescent="0.25">
      <c r="A51" s="97" t="s">
        <v>93</v>
      </c>
      <c r="B51" s="107" t="s">
        <v>153</v>
      </c>
      <c r="C51" s="108">
        <v>-19.2</v>
      </c>
      <c r="D51" s="108">
        <v>-16</v>
      </c>
      <c r="E51" s="108">
        <v>-19.100000000000001</v>
      </c>
      <c r="F51" s="108">
        <v>-20.6</v>
      </c>
      <c r="G51" s="108">
        <v>-20.2</v>
      </c>
      <c r="H51" s="107">
        <v>-74.900000000000006</v>
      </c>
      <c r="I51" s="109">
        <v>-75</v>
      </c>
      <c r="J51" s="97" t="s">
        <v>93</v>
      </c>
      <c r="K51" s="97" t="s">
        <v>93</v>
      </c>
    </row>
    <row r="52" spans="1:11" x14ac:dyDescent="0.25">
      <c r="A52" s="97" t="s">
        <v>93</v>
      </c>
      <c r="B52" s="107" t="s">
        <v>154</v>
      </c>
      <c r="C52" s="108">
        <v>-3.4</v>
      </c>
      <c r="D52" s="108">
        <v>1.4</v>
      </c>
      <c r="E52" s="108">
        <v>0.8</v>
      </c>
      <c r="F52" s="108">
        <v>2.7</v>
      </c>
      <c r="G52" s="108">
        <v>-4.2</v>
      </c>
      <c r="H52" s="107">
        <v>1.5</v>
      </c>
      <c r="I52" s="109">
        <v>-1.8</v>
      </c>
      <c r="J52" s="97" t="s">
        <v>93</v>
      </c>
      <c r="K52" s="97" t="s">
        <v>93</v>
      </c>
    </row>
    <row r="53" spans="1:11" x14ac:dyDescent="0.25">
      <c r="A53" s="97" t="s">
        <v>93</v>
      </c>
      <c r="B53" s="107" t="s">
        <v>155</v>
      </c>
      <c r="C53" s="108">
        <v>17.2</v>
      </c>
      <c r="D53" s="108">
        <v>-19.399999999999999</v>
      </c>
      <c r="E53" s="108">
        <v>-43.7</v>
      </c>
      <c r="F53" s="108">
        <v>-23.3</v>
      </c>
      <c r="G53" s="108">
        <v>20.2</v>
      </c>
      <c r="H53" s="107">
        <v>-69.2</v>
      </c>
      <c r="I53" s="109">
        <v>50.3</v>
      </c>
      <c r="J53" s="97" t="s">
        <v>93</v>
      </c>
      <c r="K53" s="97" t="s">
        <v>93</v>
      </c>
    </row>
    <row r="54" spans="1:11" x14ac:dyDescent="0.25">
      <c r="A54" s="97" t="s">
        <v>93</v>
      </c>
      <c r="B54" s="107" t="s">
        <v>165</v>
      </c>
      <c r="C54" s="108" t="s">
        <v>158</v>
      </c>
      <c r="D54" s="108">
        <v>-0.1</v>
      </c>
      <c r="E54" s="108">
        <v>3.2</v>
      </c>
      <c r="F54" s="108">
        <v>-0.3</v>
      </c>
      <c r="G54" s="108">
        <v>0.4</v>
      </c>
      <c r="H54" s="107">
        <v>2.8</v>
      </c>
      <c r="I54" s="109">
        <v>0.7</v>
      </c>
      <c r="J54" s="97" t="s">
        <v>93</v>
      </c>
      <c r="K54" s="97" t="s">
        <v>93</v>
      </c>
    </row>
    <row r="55" spans="1:11" x14ac:dyDescent="0.25">
      <c r="A55" s="97" t="s">
        <v>93</v>
      </c>
      <c r="B55" s="107" t="s">
        <v>157</v>
      </c>
      <c r="C55" s="108" t="s">
        <v>158</v>
      </c>
      <c r="D55" s="108" t="s">
        <v>158</v>
      </c>
      <c r="E55" s="108" t="s">
        <v>158</v>
      </c>
      <c r="F55" s="108">
        <v>18.600000000000001</v>
      </c>
      <c r="G55" s="108" t="s">
        <v>158</v>
      </c>
      <c r="H55" s="107">
        <v>18.600000000000001</v>
      </c>
      <c r="I55" s="109" t="s">
        <v>158</v>
      </c>
      <c r="J55" s="97" t="s">
        <v>93</v>
      </c>
      <c r="K55" s="97" t="s">
        <v>93</v>
      </c>
    </row>
    <row r="56" spans="1:11" x14ac:dyDescent="0.25">
      <c r="A56" s="97" t="s">
        <v>93</v>
      </c>
      <c r="B56" s="107" t="s">
        <v>159</v>
      </c>
      <c r="C56" s="108" t="s">
        <v>158</v>
      </c>
      <c r="D56" s="108" t="s">
        <v>158</v>
      </c>
      <c r="E56" s="108" t="s">
        <v>158</v>
      </c>
      <c r="F56" s="108" t="s">
        <v>158</v>
      </c>
      <c r="G56" s="108">
        <v>-1.2</v>
      </c>
      <c r="H56" s="107" t="s">
        <v>158</v>
      </c>
      <c r="I56" s="109">
        <v>-1.2</v>
      </c>
      <c r="J56" s="97" t="s">
        <v>93</v>
      </c>
      <c r="K56" s="97" t="s">
        <v>93</v>
      </c>
    </row>
    <row r="57" spans="1:11" x14ac:dyDescent="0.25">
      <c r="A57" s="97" t="s">
        <v>93</v>
      </c>
      <c r="B57" s="107" t="s">
        <v>160</v>
      </c>
      <c r="C57" s="108">
        <v>0.5</v>
      </c>
      <c r="D57" s="108">
        <v>-0.5</v>
      </c>
      <c r="E57" s="108">
        <v>-0.7</v>
      </c>
      <c r="F57" s="108">
        <v>0.1</v>
      </c>
      <c r="G57" s="108">
        <v>-0.1</v>
      </c>
      <c r="H57" s="107">
        <v>-0.6</v>
      </c>
      <c r="I57" s="109">
        <v>-0.5</v>
      </c>
      <c r="J57" s="97" t="s">
        <v>93</v>
      </c>
      <c r="K57" s="97" t="s">
        <v>93</v>
      </c>
    </row>
    <row r="58" spans="1:11" x14ac:dyDescent="0.25">
      <c r="A58" s="97" t="s">
        <v>93</v>
      </c>
      <c r="B58" s="103" t="s">
        <v>161</v>
      </c>
      <c r="C58" s="108">
        <v>401.5</v>
      </c>
      <c r="D58" s="108">
        <v>387.2</v>
      </c>
      <c r="E58" s="108">
        <v>405.8</v>
      </c>
      <c r="F58" s="108">
        <v>446.2</v>
      </c>
      <c r="G58" s="108">
        <v>448.4</v>
      </c>
      <c r="H58" s="107">
        <v>401.5</v>
      </c>
      <c r="I58" s="109">
        <v>448.4</v>
      </c>
      <c r="J58" s="97" t="s">
        <v>93</v>
      </c>
      <c r="K58" s="97" t="s">
        <v>93</v>
      </c>
    </row>
    <row r="59" spans="1:11" x14ac:dyDescent="0.25">
      <c r="A59" s="97" t="s">
        <v>93</v>
      </c>
      <c r="B59" s="107" t="s">
        <v>166</v>
      </c>
      <c r="C59" s="108">
        <v>63.2</v>
      </c>
      <c r="D59" s="108">
        <v>62.2</v>
      </c>
      <c r="E59" s="108">
        <v>64</v>
      </c>
      <c r="F59" s="108">
        <v>91.2</v>
      </c>
      <c r="G59" s="108">
        <v>98.1</v>
      </c>
      <c r="H59" s="107">
        <v>63.2</v>
      </c>
      <c r="I59" s="109">
        <v>98.1</v>
      </c>
      <c r="J59" s="97" t="s">
        <v>93</v>
      </c>
      <c r="K59" s="97" t="s">
        <v>93</v>
      </c>
    </row>
    <row r="60" spans="1:11" ht="15.75" thickBot="1" x14ac:dyDescent="0.3">
      <c r="A60" s="97" t="s">
        <v>93</v>
      </c>
      <c r="B60" s="114" t="s">
        <v>172</v>
      </c>
      <c r="C60" s="115">
        <v>464.7</v>
      </c>
      <c r="D60" s="115">
        <v>449.4</v>
      </c>
      <c r="E60" s="115">
        <v>469.8</v>
      </c>
      <c r="F60" s="115">
        <v>537.4</v>
      </c>
      <c r="G60" s="115">
        <v>546.5</v>
      </c>
      <c r="H60" s="116">
        <v>464.7</v>
      </c>
      <c r="I60" s="117">
        <v>546.5</v>
      </c>
      <c r="J60" s="97" t="s">
        <v>93</v>
      </c>
      <c r="K60" s="97" t="s">
        <v>93</v>
      </c>
    </row>
    <row r="61" spans="1:11" ht="15.75" thickBot="1" x14ac:dyDescent="0.3">
      <c r="A61" s="97" t="s">
        <v>93</v>
      </c>
      <c r="B61" s="97" t="s">
        <v>93</v>
      </c>
      <c r="C61" s="97" t="s">
        <v>93</v>
      </c>
      <c r="D61" s="97" t="s">
        <v>93</v>
      </c>
      <c r="E61" s="97" t="s">
        <v>93</v>
      </c>
      <c r="F61" s="97" t="s">
        <v>93</v>
      </c>
      <c r="G61" s="97" t="s">
        <v>93</v>
      </c>
      <c r="H61" s="97" t="s">
        <v>93</v>
      </c>
      <c r="I61" s="97" t="s">
        <v>93</v>
      </c>
      <c r="J61" s="97" t="s">
        <v>93</v>
      </c>
      <c r="K61" s="97" t="s">
        <v>93</v>
      </c>
    </row>
    <row r="62" spans="1:11" x14ac:dyDescent="0.25">
      <c r="A62" s="97" t="s">
        <v>93</v>
      </c>
      <c r="B62" s="118" t="s">
        <v>173</v>
      </c>
      <c r="C62" s="119" t="s">
        <v>93</v>
      </c>
      <c r="D62" s="119" t="s">
        <v>93</v>
      </c>
      <c r="E62" s="119" t="s">
        <v>93</v>
      </c>
      <c r="F62" s="119" t="s">
        <v>93</v>
      </c>
      <c r="G62" s="120" t="s">
        <v>93</v>
      </c>
      <c r="H62" s="97" t="s">
        <v>93</v>
      </c>
      <c r="I62" s="97" t="s">
        <v>93</v>
      </c>
      <c r="J62" s="97" t="s">
        <v>93</v>
      </c>
      <c r="K62" s="97" t="s">
        <v>93</v>
      </c>
    </row>
    <row r="63" spans="1:11" x14ac:dyDescent="0.25">
      <c r="A63" s="97" t="s">
        <v>93</v>
      </c>
      <c r="B63" s="121" t="s">
        <v>174</v>
      </c>
      <c r="C63" s="108"/>
      <c r="D63" s="108"/>
      <c r="E63" s="108"/>
      <c r="F63" s="108"/>
      <c r="G63" s="109" t="s">
        <v>93</v>
      </c>
      <c r="H63" s="97" t="s">
        <v>93</v>
      </c>
      <c r="I63" s="97" t="s">
        <v>93</v>
      </c>
      <c r="J63" s="97" t="s">
        <v>93</v>
      </c>
      <c r="K63" s="97" t="s">
        <v>93</v>
      </c>
    </row>
    <row r="64" spans="1:11" x14ac:dyDescent="0.25">
      <c r="A64" s="97" t="s">
        <v>93</v>
      </c>
      <c r="B64" s="121" t="s">
        <v>175</v>
      </c>
      <c r="C64" s="108"/>
      <c r="D64" s="108"/>
      <c r="E64" s="108"/>
      <c r="F64" s="108"/>
      <c r="G64" s="109" t="s">
        <v>93</v>
      </c>
      <c r="H64" s="97" t="s">
        <v>93</v>
      </c>
      <c r="I64" s="97" t="s">
        <v>93</v>
      </c>
      <c r="J64" s="97" t="s">
        <v>93</v>
      </c>
      <c r="K64" s="97" t="s">
        <v>93</v>
      </c>
    </row>
    <row r="65" spans="1:11" x14ac:dyDescent="0.25">
      <c r="A65" s="97" t="s">
        <v>93</v>
      </c>
      <c r="B65" s="121" t="s">
        <v>176</v>
      </c>
      <c r="C65" s="108"/>
      <c r="D65" s="108"/>
      <c r="E65" s="108"/>
      <c r="F65" s="108"/>
      <c r="G65" s="109" t="s">
        <v>93</v>
      </c>
      <c r="H65" s="97" t="s">
        <v>93</v>
      </c>
      <c r="I65" s="97" t="s">
        <v>93</v>
      </c>
      <c r="J65" s="97" t="s">
        <v>93</v>
      </c>
      <c r="K65" s="97" t="s">
        <v>93</v>
      </c>
    </row>
    <row r="66" spans="1:11" x14ac:dyDescent="0.25">
      <c r="A66" s="97" t="s">
        <v>93</v>
      </c>
      <c r="B66" s="121" t="s">
        <v>177</v>
      </c>
      <c r="C66" s="108"/>
      <c r="D66" s="108"/>
      <c r="E66" s="108"/>
      <c r="F66" s="108"/>
      <c r="G66" s="109" t="s">
        <v>93</v>
      </c>
      <c r="H66" s="97" t="s">
        <v>93</v>
      </c>
      <c r="I66" s="97" t="s">
        <v>93</v>
      </c>
      <c r="J66" s="97" t="s">
        <v>93</v>
      </c>
      <c r="K66" s="97" t="s">
        <v>93</v>
      </c>
    </row>
    <row r="67" spans="1:11" x14ac:dyDescent="0.25">
      <c r="A67" s="97" t="s">
        <v>93</v>
      </c>
      <c r="B67" s="121" t="s">
        <v>178</v>
      </c>
      <c r="C67" s="108"/>
      <c r="D67" s="108"/>
      <c r="E67" s="108"/>
      <c r="F67" s="108"/>
      <c r="G67" s="109" t="s">
        <v>93</v>
      </c>
      <c r="H67" s="97" t="s">
        <v>93</v>
      </c>
      <c r="I67" s="97" t="s">
        <v>93</v>
      </c>
      <c r="J67" s="97" t="s">
        <v>93</v>
      </c>
      <c r="K67" s="97" t="s">
        <v>93</v>
      </c>
    </row>
    <row r="68" spans="1:11" x14ac:dyDescent="0.25">
      <c r="A68" s="97" t="s">
        <v>93</v>
      </c>
      <c r="B68" s="121" t="s">
        <v>179</v>
      </c>
      <c r="C68" s="108"/>
      <c r="D68" s="108"/>
      <c r="E68" s="108"/>
      <c r="F68" s="108"/>
      <c r="G68" s="109" t="s">
        <v>93</v>
      </c>
      <c r="H68" s="97" t="s">
        <v>93</v>
      </c>
      <c r="I68" s="97" t="s">
        <v>93</v>
      </c>
      <c r="J68" s="97" t="s">
        <v>93</v>
      </c>
      <c r="K68" s="97" t="s">
        <v>93</v>
      </c>
    </row>
    <row r="69" spans="1:11" ht="15.75" thickBot="1" x14ac:dyDescent="0.3">
      <c r="A69" s="97" t="s">
        <v>93</v>
      </c>
      <c r="B69" s="122" t="s">
        <v>180</v>
      </c>
      <c r="C69" s="108"/>
      <c r="D69" s="108"/>
      <c r="E69" s="108"/>
      <c r="F69" s="108"/>
      <c r="G69" s="123" t="s">
        <v>93</v>
      </c>
      <c r="H69" s="97" t="s">
        <v>93</v>
      </c>
      <c r="I69" s="97" t="s">
        <v>93</v>
      </c>
      <c r="J69" s="97" t="s">
        <v>93</v>
      </c>
      <c r="K69" s="97" t="s">
        <v>93</v>
      </c>
    </row>
    <row r="70" spans="1:11" x14ac:dyDescent="0.25">
      <c r="A70" s="97" t="s">
        <v>93</v>
      </c>
      <c r="B70" s="97" t="s">
        <v>93</v>
      </c>
      <c r="C70" s="97" t="s">
        <v>93</v>
      </c>
      <c r="D70" s="97" t="s">
        <v>93</v>
      </c>
      <c r="E70" s="97" t="s">
        <v>93</v>
      </c>
      <c r="F70" s="97" t="s">
        <v>93</v>
      </c>
      <c r="G70" s="97" t="s">
        <v>93</v>
      </c>
      <c r="H70" s="97" t="s">
        <v>93</v>
      </c>
      <c r="I70" s="97" t="s">
        <v>93</v>
      </c>
      <c r="J70" s="97" t="s">
        <v>93</v>
      </c>
      <c r="K70" s="97" t="s">
        <v>93</v>
      </c>
    </row>
    <row r="71" spans="1:11" x14ac:dyDescent="0.25">
      <c r="A71" s="97" t="s">
        <v>93</v>
      </c>
      <c r="B71" s="97" t="s">
        <v>93</v>
      </c>
      <c r="C71" s="97" t="s">
        <v>93</v>
      </c>
      <c r="D71" s="97" t="s">
        <v>93</v>
      </c>
      <c r="E71" s="97" t="s">
        <v>93</v>
      </c>
      <c r="F71" s="97" t="s">
        <v>93</v>
      </c>
      <c r="G71" s="97" t="s">
        <v>93</v>
      </c>
      <c r="H71" s="97" t="s">
        <v>93</v>
      </c>
      <c r="I71" s="97" t="s">
        <v>93</v>
      </c>
      <c r="J71" s="97" t="s">
        <v>93</v>
      </c>
      <c r="K71" s="97" t="s">
        <v>93</v>
      </c>
    </row>
    <row r="72" spans="1:11" x14ac:dyDescent="0.25">
      <c r="A72" s="97" t="s">
        <v>93</v>
      </c>
      <c r="B72" s="97" t="s">
        <v>93</v>
      </c>
      <c r="C72" s="97" t="s">
        <v>93</v>
      </c>
      <c r="D72" s="97" t="s">
        <v>93</v>
      </c>
      <c r="E72" s="97" t="s">
        <v>93</v>
      </c>
      <c r="F72" s="97" t="s">
        <v>93</v>
      </c>
      <c r="G72" s="97" t="s">
        <v>93</v>
      </c>
      <c r="H72" s="97" t="s">
        <v>93</v>
      </c>
      <c r="I72" s="97" t="s">
        <v>93</v>
      </c>
      <c r="J72" s="97" t="s">
        <v>93</v>
      </c>
      <c r="K72" s="97" t="s">
        <v>93</v>
      </c>
    </row>
  </sheetData>
  <mergeCells count="5">
    <mergeCell ref="B1:I1"/>
    <mergeCell ref="B2:I2"/>
    <mergeCell ref="B3:I3"/>
    <mergeCell ref="C5:G5"/>
    <mergeCell ref="H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590BD-6D30-49E3-8B81-043FD5600DBC}">
  <dimension ref="B1:W45"/>
  <sheetViews>
    <sheetView topLeftCell="G13" zoomScaleNormal="100" workbookViewId="0">
      <selection activeCell="H46" sqref="H46"/>
    </sheetView>
  </sheetViews>
  <sheetFormatPr defaultRowHeight="15" x14ac:dyDescent="0.25"/>
  <cols>
    <col min="3" max="3" width="36.42578125" customWidth="1"/>
    <col min="4" max="4" width="9.5703125" customWidth="1"/>
    <col min="5" max="5" width="22.5703125" customWidth="1"/>
    <col min="6" max="6" width="16.140625" customWidth="1"/>
    <col min="7" max="9" width="14.85546875" bestFit="1" customWidth="1"/>
    <col min="10" max="10" width="14" customWidth="1"/>
    <col min="13" max="13" width="8.85546875" bestFit="1" customWidth="1"/>
    <col min="14" max="14" width="33.140625" customWidth="1"/>
    <col min="15" max="15" width="15.42578125" customWidth="1"/>
    <col min="16" max="16" width="21" customWidth="1"/>
    <col min="17" max="22" width="12" bestFit="1" customWidth="1"/>
  </cols>
  <sheetData>
    <row r="1" spans="2:23" ht="15.75" thickBot="1" x14ac:dyDescent="0.3">
      <c r="B1" s="64" t="s">
        <v>93</v>
      </c>
      <c r="C1" s="255" t="s">
        <v>94</v>
      </c>
      <c r="D1" s="256"/>
      <c r="E1" s="256"/>
      <c r="F1" s="257"/>
      <c r="G1" s="124" t="s">
        <v>93</v>
      </c>
      <c r="H1" s="124" t="s">
        <v>93</v>
      </c>
      <c r="I1" s="124" t="s">
        <v>93</v>
      </c>
      <c r="J1" s="124" t="s">
        <v>93</v>
      </c>
      <c r="K1" s="64" t="s">
        <v>93</v>
      </c>
      <c r="L1" s="64" t="s">
        <v>93</v>
      </c>
    </row>
    <row r="2" spans="2:23" ht="15.75" thickBot="1" x14ac:dyDescent="0.3">
      <c r="B2" s="64" t="s">
        <v>93</v>
      </c>
      <c r="C2" s="125" t="s">
        <v>181</v>
      </c>
      <c r="D2" s="252" t="s">
        <v>148</v>
      </c>
      <c r="E2" s="253"/>
      <c r="F2" s="253"/>
      <c r="G2" s="253"/>
      <c r="H2" s="254"/>
      <c r="I2" s="253" t="s">
        <v>149</v>
      </c>
      <c r="J2" s="254"/>
      <c r="K2" s="64" t="s">
        <v>93</v>
      </c>
      <c r="L2" s="64" t="s">
        <v>93</v>
      </c>
    </row>
    <row r="3" spans="2:23" ht="15.75" thickBot="1" x14ac:dyDescent="0.3">
      <c r="B3" s="64" t="s">
        <v>93</v>
      </c>
      <c r="C3" s="126" t="s">
        <v>182</v>
      </c>
      <c r="D3" s="100">
        <v>44926</v>
      </c>
      <c r="E3" s="101">
        <v>44834</v>
      </c>
      <c r="F3" s="102">
        <v>44742</v>
      </c>
      <c r="G3" s="102">
        <v>44651</v>
      </c>
      <c r="H3" s="102">
        <v>44561</v>
      </c>
      <c r="I3" s="102">
        <v>44926</v>
      </c>
      <c r="J3" s="102">
        <v>44561</v>
      </c>
      <c r="K3" s="64" t="s">
        <v>93</v>
      </c>
      <c r="L3" s="64" t="s">
        <v>93</v>
      </c>
      <c r="N3" s="125" t="s">
        <v>181</v>
      </c>
      <c r="O3" s="198">
        <v>2021</v>
      </c>
      <c r="P3" s="198">
        <v>2022</v>
      </c>
      <c r="Q3" s="198">
        <v>2023</v>
      </c>
      <c r="R3" s="198">
        <v>2024</v>
      </c>
      <c r="S3" s="198">
        <v>2025</v>
      </c>
      <c r="T3" s="198">
        <v>2026</v>
      </c>
      <c r="U3" s="198">
        <v>2027</v>
      </c>
      <c r="V3" s="198">
        <v>2028</v>
      </c>
      <c r="W3" s="198"/>
    </row>
    <row r="4" spans="2:23" x14ac:dyDescent="0.25">
      <c r="B4" s="64" t="s">
        <v>93</v>
      </c>
      <c r="C4" s="127" t="s">
        <v>183</v>
      </c>
      <c r="D4" s="108" t="s">
        <v>184</v>
      </c>
      <c r="E4" s="108" t="s">
        <v>184</v>
      </c>
      <c r="F4" s="108" t="s">
        <v>184</v>
      </c>
      <c r="G4" s="108" t="s">
        <v>184</v>
      </c>
      <c r="H4" s="108" t="s">
        <v>184</v>
      </c>
      <c r="I4" s="107" t="s">
        <v>184</v>
      </c>
      <c r="J4" s="109" t="s">
        <v>184</v>
      </c>
      <c r="K4" s="64" t="s">
        <v>93</v>
      </c>
      <c r="L4" s="64" t="s">
        <v>93</v>
      </c>
      <c r="N4" s="127" t="s">
        <v>183</v>
      </c>
      <c r="O4" s="109" t="s">
        <v>184</v>
      </c>
      <c r="P4" s="107" t="s">
        <v>184</v>
      </c>
    </row>
    <row r="5" spans="2:23" x14ac:dyDescent="0.25">
      <c r="B5" s="64" t="s">
        <v>93</v>
      </c>
      <c r="C5" s="127" t="s">
        <v>185</v>
      </c>
      <c r="D5" s="108">
        <v>404.8</v>
      </c>
      <c r="E5" s="108">
        <v>402.2</v>
      </c>
      <c r="F5" s="108">
        <v>460.5</v>
      </c>
      <c r="G5" s="108">
        <v>434.9</v>
      </c>
      <c r="H5" s="108">
        <v>493.4</v>
      </c>
      <c r="I5" s="128">
        <v>1702.4</v>
      </c>
      <c r="J5" s="129">
        <v>1824.1</v>
      </c>
      <c r="K5" s="64" t="s">
        <v>93</v>
      </c>
      <c r="L5" s="64" t="s">
        <v>93</v>
      </c>
      <c r="M5">
        <f t="shared" ref="M5:M19" si="0">(J5-I5)/I5</f>
        <v>7.1487312030075079E-2</v>
      </c>
      <c r="N5" s="127" t="s">
        <v>185</v>
      </c>
      <c r="O5" s="129">
        <v>1824.1</v>
      </c>
      <c r="P5" s="128">
        <v>1702.4</v>
      </c>
      <c r="Q5" s="210"/>
      <c r="R5" s="211"/>
      <c r="S5" s="211"/>
      <c r="T5" s="211"/>
      <c r="U5" s="211"/>
      <c r="V5" s="211"/>
    </row>
    <row r="6" spans="2:23" x14ac:dyDescent="0.25">
      <c r="B6" s="64" t="s">
        <v>93</v>
      </c>
      <c r="C6" s="127" t="s">
        <v>186</v>
      </c>
      <c r="D6" s="108">
        <v>5.8</v>
      </c>
      <c r="E6" s="108">
        <v>3.8</v>
      </c>
      <c r="F6" s="108">
        <v>3.1</v>
      </c>
      <c r="G6" s="108">
        <v>0.4</v>
      </c>
      <c r="H6" s="108">
        <v>0.5</v>
      </c>
      <c r="I6" s="107">
        <v>13.1</v>
      </c>
      <c r="J6" s="109">
        <v>3.9</v>
      </c>
      <c r="K6" s="64" t="s">
        <v>93</v>
      </c>
      <c r="L6" s="64" t="s">
        <v>93</v>
      </c>
      <c r="M6">
        <f t="shared" si="0"/>
        <v>-0.70229007633587781</v>
      </c>
      <c r="N6" s="127" t="s">
        <v>186</v>
      </c>
      <c r="O6" s="109">
        <v>3.9</v>
      </c>
      <c r="P6" s="107">
        <v>13.1</v>
      </c>
    </row>
    <row r="7" spans="2:23" x14ac:dyDescent="0.25">
      <c r="B7" s="64" t="s">
        <v>93</v>
      </c>
      <c r="C7" s="130" t="s">
        <v>187</v>
      </c>
      <c r="D7" s="131">
        <v>410.6</v>
      </c>
      <c r="E7" s="131">
        <v>406</v>
      </c>
      <c r="F7" s="131">
        <v>463.6</v>
      </c>
      <c r="G7" s="131">
        <v>435.3</v>
      </c>
      <c r="H7" s="131">
        <v>493.9</v>
      </c>
      <c r="I7" s="132">
        <v>1715.5</v>
      </c>
      <c r="J7" s="133">
        <v>1828</v>
      </c>
      <c r="K7" s="64" t="s">
        <v>93</v>
      </c>
      <c r="L7" s="64" t="s">
        <v>93</v>
      </c>
      <c r="M7">
        <f t="shared" si="0"/>
        <v>6.5578548528125905E-2</v>
      </c>
      <c r="N7" s="130" t="s">
        <v>187</v>
      </c>
      <c r="O7" s="133">
        <v>1828</v>
      </c>
      <c r="P7" s="132">
        <v>1715.5</v>
      </c>
    </row>
    <row r="8" spans="2:23" x14ac:dyDescent="0.25">
      <c r="B8" s="64" t="s">
        <v>93</v>
      </c>
      <c r="C8" s="127" t="s">
        <v>93</v>
      </c>
      <c r="D8" s="108"/>
      <c r="E8" s="108"/>
      <c r="F8" s="108"/>
      <c r="G8" s="108"/>
      <c r="H8" s="108"/>
      <c r="I8" s="107" t="s">
        <v>93</v>
      </c>
      <c r="J8" s="109" t="s">
        <v>93</v>
      </c>
      <c r="K8" s="64" t="s">
        <v>93</v>
      </c>
      <c r="L8" s="64" t="s">
        <v>93</v>
      </c>
      <c r="N8" s="127" t="s">
        <v>93</v>
      </c>
      <c r="O8" s="109" t="s">
        <v>93</v>
      </c>
      <c r="P8" s="107" t="s">
        <v>93</v>
      </c>
    </row>
    <row r="9" spans="2:23" ht="30" x14ac:dyDescent="0.25">
      <c r="B9" s="64" t="s">
        <v>93</v>
      </c>
      <c r="C9" s="127" t="s">
        <v>188</v>
      </c>
      <c r="D9" s="108" t="s">
        <v>189</v>
      </c>
      <c r="E9" s="108" t="s">
        <v>189</v>
      </c>
      <c r="F9" s="108" t="s">
        <v>189</v>
      </c>
      <c r="G9" s="108" t="s">
        <v>189</v>
      </c>
      <c r="H9" s="108" t="s">
        <v>189</v>
      </c>
      <c r="I9" s="107" t="s">
        <v>189</v>
      </c>
      <c r="J9" s="109" t="s">
        <v>189</v>
      </c>
      <c r="K9" s="64" t="s">
        <v>93</v>
      </c>
      <c r="L9" s="64" t="s">
        <v>93</v>
      </c>
      <c r="N9" s="127" t="s">
        <v>188</v>
      </c>
      <c r="O9" s="109" t="s">
        <v>189</v>
      </c>
      <c r="P9" s="107" t="s">
        <v>189</v>
      </c>
    </row>
    <row r="10" spans="2:23" x14ac:dyDescent="0.25">
      <c r="B10" s="64" t="s">
        <v>93</v>
      </c>
      <c r="C10" s="127" t="s">
        <v>190</v>
      </c>
      <c r="D10" s="108" t="s">
        <v>189</v>
      </c>
      <c r="E10" s="108" t="s">
        <v>189</v>
      </c>
      <c r="F10" s="108" t="s">
        <v>189</v>
      </c>
      <c r="G10" s="108" t="s">
        <v>189</v>
      </c>
      <c r="H10" s="108" t="s">
        <v>189</v>
      </c>
      <c r="I10" s="107" t="s">
        <v>189</v>
      </c>
      <c r="J10" s="109" t="s">
        <v>189</v>
      </c>
      <c r="K10" s="64" t="s">
        <v>93</v>
      </c>
      <c r="L10" s="64" t="s">
        <v>93</v>
      </c>
      <c r="N10" s="127" t="s">
        <v>190</v>
      </c>
      <c r="O10" s="109" t="s">
        <v>189</v>
      </c>
      <c r="P10" s="107" t="s">
        <v>189</v>
      </c>
    </row>
    <row r="11" spans="2:23" x14ac:dyDescent="0.25">
      <c r="B11" s="64" t="s">
        <v>93</v>
      </c>
      <c r="C11" s="127" t="s">
        <v>191</v>
      </c>
      <c r="D11" s="108">
        <v>31.1</v>
      </c>
      <c r="E11" s="108">
        <v>32.9</v>
      </c>
      <c r="F11" s="108">
        <v>34.9</v>
      </c>
      <c r="G11" s="108">
        <v>38.6</v>
      </c>
      <c r="H11" s="108">
        <v>40.9</v>
      </c>
      <c r="I11" s="107">
        <v>137.5</v>
      </c>
      <c r="J11" s="109">
        <v>160.5</v>
      </c>
      <c r="K11" s="64" t="s">
        <v>93</v>
      </c>
      <c r="L11" s="64" t="s">
        <v>93</v>
      </c>
      <c r="M11">
        <f t="shared" si="0"/>
        <v>0.16727272727272727</v>
      </c>
      <c r="N11" s="127" t="s">
        <v>191</v>
      </c>
      <c r="O11" s="109">
        <v>160.5</v>
      </c>
      <c r="P11" s="107">
        <v>137.5</v>
      </c>
    </row>
    <row r="12" spans="2:23" ht="30" x14ac:dyDescent="0.25">
      <c r="B12" s="64" t="s">
        <v>93</v>
      </c>
      <c r="C12" s="127" t="s">
        <v>192</v>
      </c>
      <c r="D12" s="108" t="s">
        <v>189</v>
      </c>
      <c r="E12" s="108" t="s">
        <v>189</v>
      </c>
      <c r="F12" s="108" t="s">
        <v>189</v>
      </c>
      <c r="G12" s="108" t="s">
        <v>189</v>
      </c>
      <c r="H12" s="108" t="s">
        <v>189</v>
      </c>
      <c r="I12" s="107" t="s">
        <v>189</v>
      </c>
      <c r="J12" s="109" t="s">
        <v>189</v>
      </c>
      <c r="K12" s="64" t="s">
        <v>93</v>
      </c>
      <c r="L12" s="64" t="s">
        <v>93</v>
      </c>
      <c r="N12" s="127" t="s">
        <v>192</v>
      </c>
      <c r="O12" s="109" t="s">
        <v>189</v>
      </c>
      <c r="P12" s="107" t="s">
        <v>189</v>
      </c>
    </row>
    <row r="13" spans="2:23" ht="30" x14ac:dyDescent="0.25">
      <c r="B13" s="64" t="s">
        <v>93</v>
      </c>
      <c r="C13" s="127" t="s">
        <v>193</v>
      </c>
      <c r="D13" s="108" t="s">
        <v>189</v>
      </c>
      <c r="E13" s="108" t="s">
        <v>189</v>
      </c>
      <c r="F13" s="108" t="s">
        <v>189</v>
      </c>
      <c r="G13" s="108" t="s">
        <v>189</v>
      </c>
      <c r="H13" s="108" t="s">
        <v>189</v>
      </c>
      <c r="I13" s="107" t="s">
        <v>189</v>
      </c>
      <c r="J13" s="109" t="s">
        <v>189</v>
      </c>
      <c r="K13" s="64" t="s">
        <v>93</v>
      </c>
      <c r="L13" s="64" t="s">
        <v>93</v>
      </c>
      <c r="N13" s="127" t="s">
        <v>193</v>
      </c>
      <c r="O13" s="109" t="s">
        <v>189</v>
      </c>
      <c r="P13" s="107" t="s">
        <v>189</v>
      </c>
    </row>
    <row r="14" spans="2:23" x14ac:dyDescent="0.25">
      <c r="B14" s="64" t="s">
        <v>93</v>
      </c>
      <c r="C14" s="127" t="s">
        <v>194</v>
      </c>
      <c r="D14" s="108">
        <v>5.0999999999999996</v>
      </c>
      <c r="E14" s="108">
        <v>5.2</v>
      </c>
      <c r="F14" s="108">
        <v>5.2</v>
      </c>
      <c r="G14" s="108">
        <v>5.2</v>
      </c>
      <c r="H14" s="108">
        <v>5.0999999999999996</v>
      </c>
      <c r="I14" s="107">
        <v>20.7</v>
      </c>
      <c r="J14" s="109">
        <v>21.1</v>
      </c>
      <c r="K14" s="64" t="s">
        <v>93</v>
      </c>
      <c r="L14" s="64" t="s">
        <v>93</v>
      </c>
      <c r="M14">
        <f t="shared" si="0"/>
        <v>1.9323671497584644E-2</v>
      </c>
      <c r="N14" s="127" t="s">
        <v>194</v>
      </c>
      <c r="O14" s="109">
        <v>21.1</v>
      </c>
      <c r="P14" s="107">
        <v>20.7</v>
      </c>
    </row>
    <row r="15" spans="2:23" x14ac:dyDescent="0.25">
      <c r="B15" s="64" t="s">
        <v>93</v>
      </c>
      <c r="C15" s="127" t="s">
        <v>195</v>
      </c>
      <c r="D15" s="108" t="s">
        <v>189</v>
      </c>
      <c r="E15" s="108" t="s">
        <v>189</v>
      </c>
      <c r="F15" s="108" t="s">
        <v>189</v>
      </c>
      <c r="G15" s="108" t="s">
        <v>189</v>
      </c>
      <c r="H15" s="108" t="s">
        <v>189</v>
      </c>
      <c r="I15" s="107" t="s">
        <v>189</v>
      </c>
      <c r="J15" s="109" t="s">
        <v>189</v>
      </c>
      <c r="K15" s="64" t="s">
        <v>93</v>
      </c>
      <c r="L15" s="64" t="s">
        <v>93</v>
      </c>
      <c r="N15" s="127" t="s">
        <v>195</v>
      </c>
      <c r="O15" s="109" t="s">
        <v>189</v>
      </c>
      <c r="P15" s="107" t="s">
        <v>189</v>
      </c>
    </row>
    <row r="16" spans="2:23" x14ac:dyDescent="0.25">
      <c r="B16" s="64" t="s">
        <v>93</v>
      </c>
      <c r="C16" s="127" t="s">
        <v>196</v>
      </c>
      <c r="D16" s="108">
        <v>234.9</v>
      </c>
      <c r="E16" s="108">
        <v>224.8</v>
      </c>
      <c r="F16" s="108">
        <v>242.3</v>
      </c>
      <c r="G16" s="108">
        <v>246.6</v>
      </c>
      <c r="H16" s="108">
        <v>253.9</v>
      </c>
      <c r="I16" s="107">
        <v>948.6</v>
      </c>
      <c r="J16" s="109">
        <v>932</v>
      </c>
      <c r="K16" s="64" t="s">
        <v>93</v>
      </c>
      <c r="L16" s="64" t="s">
        <v>93</v>
      </c>
      <c r="M16">
        <f t="shared" si="0"/>
        <v>-1.7499472907442571E-2</v>
      </c>
      <c r="N16" s="127" t="s">
        <v>196</v>
      </c>
      <c r="O16" s="109">
        <v>932</v>
      </c>
      <c r="P16" s="107">
        <v>948.6</v>
      </c>
    </row>
    <row r="17" spans="2:23" x14ac:dyDescent="0.25">
      <c r="B17" s="64" t="s">
        <v>93</v>
      </c>
      <c r="C17" s="130" t="s">
        <v>197</v>
      </c>
      <c r="D17" s="131">
        <v>271.10000000000002</v>
      </c>
      <c r="E17" s="131">
        <v>262.89999999999998</v>
      </c>
      <c r="F17" s="131">
        <v>282.39999999999998</v>
      </c>
      <c r="G17" s="131">
        <v>290.39999999999998</v>
      </c>
      <c r="H17" s="131">
        <v>299.89999999999998</v>
      </c>
      <c r="I17" s="132">
        <v>1106.8</v>
      </c>
      <c r="J17" s="133">
        <v>1113.5999999999999</v>
      </c>
      <c r="K17" s="64" t="s">
        <v>93</v>
      </c>
      <c r="L17" s="64" t="s">
        <v>93</v>
      </c>
      <c r="M17">
        <f t="shared" si="0"/>
        <v>6.1438380917961284E-3</v>
      </c>
      <c r="N17" s="130" t="s">
        <v>197</v>
      </c>
      <c r="O17" s="133">
        <v>1113.5999999999999</v>
      </c>
      <c r="P17" s="132">
        <v>1106.8</v>
      </c>
    </row>
    <row r="18" spans="2:23" ht="16.5" customHeight="1" x14ac:dyDescent="0.25">
      <c r="B18" s="64" t="s">
        <v>93</v>
      </c>
      <c r="C18" s="127" t="s">
        <v>93</v>
      </c>
      <c r="D18" s="108"/>
      <c r="E18" s="108"/>
      <c r="F18" s="108"/>
      <c r="G18" s="108"/>
      <c r="H18" s="108"/>
      <c r="I18" s="107" t="s">
        <v>93</v>
      </c>
      <c r="J18" s="109" t="s">
        <v>93</v>
      </c>
      <c r="K18" s="64" t="s">
        <v>93</v>
      </c>
      <c r="L18" s="64" t="s">
        <v>93</v>
      </c>
      <c r="N18" s="127" t="s">
        <v>93</v>
      </c>
      <c r="O18" s="109" t="s">
        <v>93</v>
      </c>
      <c r="P18" s="107" t="s">
        <v>93</v>
      </c>
    </row>
    <row r="19" spans="2:23" ht="45" x14ac:dyDescent="0.25">
      <c r="B19" s="64" t="s">
        <v>93</v>
      </c>
      <c r="C19" s="130" t="s">
        <v>198</v>
      </c>
      <c r="D19" s="131">
        <v>0.9</v>
      </c>
      <c r="E19" s="131">
        <v>1.1000000000000001</v>
      </c>
      <c r="F19" s="131">
        <v>1.2</v>
      </c>
      <c r="G19" s="131">
        <v>1.5</v>
      </c>
      <c r="H19" s="131">
        <v>1.2</v>
      </c>
      <c r="I19" s="134">
        <v>4.7</v>
      </c>
      <c r="J19" s="135">
        <v>6</v>
      </c>
      <c r="K19" s="64" t="s">
        <v>93</v>
      </c>
      <c r="L19" s="64" t="s">
        <v>93</v>
      </c>
      <c r="M19">
        <f t="shared" si="0"/>
        <v>0.27659574468085102</v>
      </c>
      <c r="N19" s="130" t="s">
        <v>198</v>
      </c>
      <c r="O19" s="135">
        <v>6</v>
      </c>
      <c r="P19" s="134">
        <v>4.7</v>
      </c>
    </row>
    <row r="20" spans="2:23" ht="15.75" thickBot="1" x14ac:dyDescent="0.3">
      <c r="B20" s="64" t="s">
        <v>93</v>
      </c>
      <c r="C20" s="136" t="s">
        <v>199</v>
      </c>
      <c r="D20" s="137">
        <v>138.6</v>
      </c>
      <c r="E20" s="137">
        <v>142</v>
      </c>
      <c r="F20" s="137">
        <v>180</v>
      </c>
      <c r="G20" s="137">
        <v>143.4</v>
      </c>
      <c r="H20" s="137">
        <v>192.8</v>
      </c>
      <c r="I20" s="138">
        <v>604</v>
      </c>
      <c r="J20" s="139">
        <v>708.4</v>
      </c>
      <c r="K20" s="64" t="s">
        <v>93</v>
      </c>
      <c r="L20" s="64" t="s">
        <v>93</v>
      </c>
      <c r="M20">
        <f>(J20-I20)/I20</f>
        <v>0.17284768211920526</v>
      </c>
      <c r="N20" s="136" t="s">
        <v>199</v>
      </c>
      <c r="O20" s="139">
        <v>708.4</v>
      </c>
      <c r="P20" s="138">
        <v>604</v>
      </c>
    </row>
    <row r="21" spans="2:23" ht="16.5" customHeight="1" thickBot="1" x14ac:dyDescent="0.3">
      <c r="B21" s="64" t="s">
        <v>93</v>
      </c>
      <c r="C21" s="64" t="s">
        <v>93</v>
      </c>
      <c r="D21" s="64" t="s">
        <v>93</v>
      </c>
      <c r="E21" s="64" t="s">
        <v>93</v>
      </c>
      <c r="F21" s="64" t="s">
        <v>93</v>
      </c>
      <c r="G21" s="64" t="s">
        <v>93</v>
      </c>
      <c r="H21" s="64" t="s">
        <v>93</v>
      </c>
      <c r="I21" s="64" t="s">
        <v>93</v>
      </c>
      <c r="J21" s="64" t="s">
        <v>93</v>
      </c>
      <c r="K21" s="64" t="s">
        <v>93</v>
      </c>
      <c r="L21" s="64" t="s">
        <v>93</v>
      </c>
    </row>
    <row r="22" spans="2:23" ht="16.5" customHeight="1" thickBot="1" x14ac:dyDescent="0.3">
      <c r="B22" s="64" t="s">
        <v>93</v>
      </c>
      <c r="C22" s="64" t="s">
        <v>93</v>
      </c>
      <c r="D22" s="252" t="s">
        <v>149</v>
      </c>
      <c r="E22" s="253"/>
      <c r="F22" s="253"/>
      <c r="G22" s="253"/>
      <c r="H22" s="253"/>
      <c r="I22" s="254"/>
      <c r="J22" s="97" t="s">
        <v>93</v>
      </c>
      <c r="K22" s="64" t="s">
        <v>93</v>
      </c>
      <c r="L22" s="64" t="s">
        <v>93</v>
      </c>
    </row>
    <row r="23" spans="2:23" ht="15.75" thickBot="1" x14ac:dyDescent="0.3">
      <c r="B23" s="64" t="s">
        <v>93</v>
      </c>
      <c r="C23" s="140" t="s">
        <v>200</v>
      </c>
      <c r="D23" s="102">
        <v>44926</v>
      </c>
      <c r="E23" s="102">
        <v>44834</v>
      </c>
      <c r="F23" s="102">
        <v>44742</v>
      </c>
      <c r="G23" s="102">
        <v>44651</v>
      </c>
      <c r="H23" s="102">
        <v>44561</v>
      </c>
      <c r="I23" s="102">
        <v>44196</v>
      </c>
      <c r="J23" s="64" t="s">
        <v>93</v>
      </c>
      <c r="K23" s="64" t="s">
        <v>93</v>
      </c>
      <c r="L23" s="64" t="s">
        <v>93</v>
      </c>
      <c r="N23" s="140" t="s">
        <v>200</v>
      </c>
      <c r="O23" s="198">
        <v>2021</v>
      </c>
      <c r="P23" s="198">
        <v>2022</v>
      </c>
      <c r="Q23" s="198">
        <v>2023</v>
      </c>
      <c r="R23" s="198">
        <v>2024</v>
      </c>
      <c r="S23" s="198">
        <v>2025</v>
      </c>
      <c r="T23" s="198">
        <v>2026</v>
      </c>
      <c r="U23" s="198">
        <v>2027</v>
      </c>
      <c r="V23" s="198">
        <v>2028</v>
      </c>
      <c r="W23" s="198"/>
    </row>
    <row r="24" spans="2:23" ht="16.5" customHeight="1" x14ac:dyDescent="0.25">
      <c r="B24" s="64" t="s">
        <v>93</v>
      </c>
      <c r="C24" s="107" t="s">
        <v>201</v>
      </c>
      <c r="D24" s="106">
        <v>1434.6</v>
      </c>
      <c r="E24" s="104">
        <v>1489.4</v>
      </c>
      <c r="F24" s="104">
        <v>1527.6</v>
      </c>
      <c r="G24" s="104">
        <v>1537.2</v>
      </c>
      <c r="H24" s="105">
        <v>1514.1</v>
      </c>
      <c r="I24" s="106">
        <v>1298.4000000000001</v>
      </c>
      <c r="J24" s="64" t="s">
        <v>93</v>
      </c>
      <c r="K24" s="64" t="s">
        <v>93</v>
      </c>
      <c r="L24" s="64" t="s">
        <v>93</v>
      </c>
      <c r="M24">
        <f>(H24-I24)/I24</f>
        <v>0.16612754158964865</v>
      </c>
      <c r="N24" s="107" t="s">
        <v>201</v>
      </c>
      <c r="O24" s="105">
        <v>1514.1</v>
      </c>
      <c r="P24" s="106">
        <v>1434.6</v>
      </c>
    </row>
    <row r="25" spans="2:23" ht="16.5" customHeight="1" x14ac:dyDescent="0.25">
      <c r="B25" s="64" t="s">
        <v>93</v>
      </c>
      <c r="C25" s="107" t="s">
        <v>202</v>
      </c>
      <c r="D25" s="109">
        <v>280.89999999999998</v>
      </c>
      <c r="E25" s="108">
        <v>309.39999999999998</v>
      </c>
      <c r="F25" s="108">
        <v>330.4</v>
      </c>
      <c r="G25" s="108">
        <v>310.89999999999998</v>
      </c>
      <c r="H25" s="107">
        <v>313.89999999999998</v>
      </c>
      <c r="I25" s="109">
        <v>240.7</v>
      </c>
      <c r="J25" s="64" t="s">
        <v>93</v>
      </c>
      <c r="K25" s="64" t="s">
        <v>93</v>
      </c>
      <c r="L25" s="64" t="s">
        <v>93</v>
      </c>
      <c r="M25">
        <f t="shared" ref="M25:M31" si="1">(H25-I25)/I25</f>
        <v>0.30411300373909428</v>
      </c>
      <c r="N25" s="107" t="s">
        <v>202</v>
      </c>
      <c r="O25" s="107">
        <v>313.89999999999998</v>
      </c>
      <c r="P25" s="109">
        <v>280.89999999999998</v>
      </c>
    </row>
    <row r="26" spans="2:23" ht="16.5" customHeight="1" x14ac:dyDescent="0.25">
      <c r="B26" s="64" t="s">
        <v>93</v>
      </c>
      <c r="C26" s="107" t="s">
        <v>203</v>
      </c>
      <c r="D26" s="106">
        <v>1715.5</v>
      </c>
      <c r="E26" s="104">
        <v>1798.8</v>
      </c>
      <c r="F26" s="104">
        <v>1858</v>
      </c>
      <c r="G26" s="104">
        <v>1848.1</v>
      </c>
      <c r="H26" s="105">
        <v>1828</v>
      </c>
      <c r="I26" s="106">
        <v>1539.1</v>
      </c>
      <c r="J26" s="64" t="s">
        <v>93</v>
      </c>
      <c r="K26" s="64" t="s">
        <v>93</v>
      </c>
      <c r="L26" s="64" t="s">
        <v>93</v>
      </c>
      <c r="M26">
        <f t="shared" si="1"/>
        <v>0.18770710155285564</v>
      </c>
      <c r="N26" s="107" t="s">
        <v>203</v>
      </c>
      <c r="O26" s="105">
        <v>1828</v>
      </c>
      <c r="P26" s="106">
        <v>1715.5</v>
      </c>
      <c r="Q26" s="52">
        <f>$P$26+'DCF Foot'!D2/1000000</f>
        <v>1838.0440000000001</v>
      </c>
      <c r="R26" s="52">
        <f>$P$26+'DCF Foot'!E2/1000000</f>
        <v>1841.7203199999999</v>
      </c>
      <c r="S26" s="52">
        <f>$P$26+'DCF Foot'!F2/1000000</f>
        <v>1845.5069295999999</v>
      </c>
      <c r="T26" s="52">
        <f>$P$26+'DCF Foot'!G2/1000000</f>
        <v>1849.407137488</v>
      </c>
      <c r="U26" s="52">
        <f>$P$26+'DCF Foot'!H2/1000000</f>
        <v>1853.4243516126401</v>
      </c>
      <c r="V26" s="52">
        <f>$P$26+'DCF Foot'!I2/1000000</f>
        <v>1857.5620821610191</v>
      </c>
    </row>
    <row r="27" spans="2:23" ht="30" x14ac:dyDescent="0.25">
      <c r="B27" s="64" t="s">
        <v>93</v>
      </c>
      <c r="C27" s="127" t="s">
        <v>204</v>
      </c>
      <c r="D27" s="106">
        <v>1578</v>
      </c>
      <c r="E27" s="104">
        <v>1651.9</v>
      </c>
      <c r="F27" s="104">
        <v>1703.4</v>
      </c>
      <c r="G27" s="104">
        <v>1688.8</v>
      </c>
      <c r="H27" s="105">
        <v>1667.9</v>
      </c>
      <c r="I27" s="106">
        <v>1383.7</v>
      </c>
      <c r="J27" s="64" t="s">
        <v>93</v>
      </c>
      <c r="K27" s="64" t="s">
        <v>93</v>
      </c>
      <c r="L27" s="64" t="s">
        <v>93</v>
      </c>
      <c r="M27">
        <f t="shared" si="1"/>
        <v>0.20539134205391343</v>
      </c>
      <c r="N27" s="127" t="s">
        <v>204</v>
      </c>
      <c r="O27" s="105">
        <v>1667.9</v>
      </c>
      <c r="P27" s="106">
        <v>1578</v>
      </c>
      <c r="Q27" s="52">
        <f>Q26-(($P$26-$P$27)+SUM('DCF Foot'!D4:D5)/1000000)</f>
        <v>1676.07825</v>
      </c>
      <c r="R27" s="52">
        <f>R26-(($P$26-$P$27)+SUM('DCF Foot'!E4:E5)/1000000)</f>
        <v>1678.3846148683333</v>
      </c>
      <c r="S27" s="52">
        <f>S26-(($P$26-$P$27)+SUM('DCF Foot'!F4:F5)/1000000)</f>
        <v>1681.5903711720071</v>
      </c>
      <c r="T27" s="52">
        <f>T26-(($P$26-$P$27)+SUM('DCF Foot'!G4:G5)/1000000)</f>
        <v>1684.8807876524577</v>
      </c>
      <c r="U27" s="52">
        <f>U26-(($P$26-$P$27)+SUM('DCF Foot'!H4:H5)/1000000)</f>
        <v>1688.2578305616244</v>
      </c>
      <c r="V27" s="52">
        <f>V26-(($P$26-$P$27)+SUM('DCF Foot'!I4:I5)/1000000)</f>
        <v>1691.7234965645753</v>
      </c>
    </row>
    <row r="28" spans="2:23" ht="45" x14ac:dyDescent="0.25">
      <c r="B28" s="64" t="s">
        <v>93</v>
      </c>
      <c r="C28" s="127" t="s">
        <v>205</v>
      </c>
      <c r="D28" s="141">
        <v>-5.3999999999999999E-2</v>
      </c>
      <c r="E28" s="142">
        <v>0.04</v>
      </c>
      <c r="F28" s="142">
        <v>0.128</v>
      </c>
      <c r="G28" s="142">
        <v>0.19600000000000001</v>
      </c>
      <c r="H28" s="143">
        <v>0.20499999999999999</v>
      </c>
      <c r="I28" s="141">
        <v>2.9000000000000001E-2</v>
      </c>
      <c r="J28" s="64" t="s">
        <v>93</v>
      </c>
      <c r="K28" s="64" t="s">
        <v>93</v>
      </c>
      <c r="L28" s="64" t="s">
        <v>93</v>
      </c>
      <c r="M28">
        <f t="shared" si="1"/>
        <v>6.068965517241379</v>
      </c>
      <c r="N28" s="127" t="s">
        <v>205</v>
      </c>
      <c r="O28" s="143">
        <v>0.20499999999999999</v>
      </c>
      <c r="P28" s="141">
        <v>-5.3999999999999999E-2</v>
      </c>
      <c r="Q28" s="6">
        <f t="shared" ref="Q28:V28" si="2">Q27/P27-1</f>
        <v>6.2153517110266066E-2</v>
      </c>
      <c r="R28" s="6">
        <f t="shared" si="2"/>
        <v>1.3760484442377763E-3</v>
      </c>
      <c r="S28" s="6">
        <f t="shared" si="2"/>
        <v>1.9100248389283259E-3</v>
      </c>
      <c r="T28" s="6">
        <f t="shared" si="2"/>
        <v>1.9567289019128964E-3</v>
      </c>
      <c r="U28" s="6">
        <f t="shared" si="2"/>
        <v>2.004321572134371E-3</v>
      </c>
      <c r="V28" s="6">
        <f t="shared" si="2"/>
        <v>2.0528061177704782E-3</v>
      </c>
    </row>
    <row r="29" spans="2:23" x14ac:dyDescent="0.25">
      <c r="B29" s="64" t="s">
        <v>93</v>
      </c>
      <c r="C29" s="130" t="s">
        <v>199</v>
      </c>
      <c r="D29" s="113">
        <v>604</v>
      </c>
      <c r="E29" s="111">
        <v>658.2</v>
      </c>
      <c r="F29" s="111">
        <v>706.3</v>
      </c>
      <c r="G29" s="111">
        <v>710.7</v>
      </c>
      <c r="H29" s="112">
        <v>708.4</v>
      </c>
      <c r="I29" s="113">
        <v>512.9</v>
      </c>
      <c r="J29" s="64" t="s">
        <v>93</v>
      </c>
      <c r="K29" s="64" t="s">
        <v>93</v>
      </c>
      <c r="L29" s="64" t="s">
        <v>93</v>
      </c>
      <c r="M29">
        <f t="shared" si="1"/>
        <v>0.3811659192825112</v>
      </c>
      <c r="N29" s="130" t="s">
        <v>199</v>
      </c>
      <c r="O29" s="112">
        <v>708.4</v>
      </c>
      <c r="P29" s="113">
        <v>604</v>
      </c>
      <c r="Q29" s="52">
        <f>$P$29+'DCF Foot'!D6/1000000</f>
        <v>667.12975000000006</v>
      </c>
      <c r="R29" s="52">
        <f>$P$29+'DCF Foot'!E6/1000000</f>
        <v>666.80505146812777</v>
      </c>
      <c r="S29" s="52">
        <f>$P$29+'DCF Foot'!F6/1000000</f>
        <v>668.88342086979526</v>
      </c>
      <c r="T29" s="52">
        <f>$P$29+'DCF Foot'!G6/1000000</f>
        <v>671.01262884117966</v>
      </c>
      <c r="U29" s="52">
        <f>$P$29+'DCF Foot'!H6/1000000</f>
        <v>673.19362698600787</v>
      </c>
      <c r="V29" s="52">
        <f>$P$29+'DCF Foot'!I6/1000000</f>
        <v>675.42736688169043</v>
      </c>
    </row>
    <row r="30" spans="2:23" ht="45" x14ac:dyDescent="0.25">
      <c r="B30" s="64" t="s">
        <v>93</v>
      </c>
      <c r="C30" s="127" t="s">
        <v>206</v>
      </c>
      <c r="D30" s="106">
        <v>608.70000000000005</v>
      </c>
      <c r="E30" s="104">
        <v>663.2</v>
      </c>
      <c r="F30" s="104">
        <v>712</v>
      </c>
      <c r="G30" s="104">
        <v>716.8</v>
      </c>
      <c r="H30" s="105">
        <v>714.4</v>
      </c>
      <c r="I30" s="106">
        <v>519.1</v>
      </c>
      <c r="J30" s="64" t="s">
        <v>93</v>
      </c>
      <c r="K30" s="64" t="s">
        <v>93</v>
      </c>
      <c r="L30" s="64" t="s">
        <v>93</v>
      </c>
      <c r="M30">
        <f t="shared" si="1"/>
        <v>0.37622808707378141</v>
      </c>
      <c r="N30" s="127" t="s">
        <v>206</v>
      </c>
      <c r="O30" s="105">
        <v>714.4</v>
      </c>
      <c r="P30" s="106">
        <v>608.70000000000005</v>
      </c>
      <c r="Q30" s="52">
        <f>$P$30+'DCF Foot'!D6/1000000</f>
        <v>671.8297500000001</v>
      </c>
      <c r="R30" s="52">
        <f>$P$30+'DCF Foot'!E6/1000000</f>
        <v>671.50505146812782</v>
      </c>
      <c r="S30" s="52">
        <f>$P$30+'DCF Foot'!F6/1000000</f>
        <v>673.5834208697953</v>
      </c>
      <c r="T30" s="52">
        <f>$P$30+'DCF Foot'!G6/1000000</f>
        <v>675.71262884117971</v>
      </c>
      <c r="U30" s="52">
        <f>$P$30+'DCF Foot'!H6/1000000</f>
        <v>677.89362698600792</v>
      </c>
      <c r="V30" s="52">
        <f>$P$30+'DCF Foot'!I6/1000000</f>
        <v>680.12736688169048</v>
      </c>
    </row>
    <row r="31" spans="2:23" ht="45" x14ac:dyDescent="0.25">
      <c r="B31" s="64" t="s">
        <v>93</v>
      </c>
      <c r="C31" s="144" t="s">
        <v>207</v>
      </c>
      <c r="D31" s="145">
        <v>0.38600000000000001</v>
      </c>
      <c r="E31" s="146">
        <v>0.40100000000000002</v>
      </c>
      <c r="F31" s="146">
        <v>0.41799999999999998</v>
      </c>
      <c r="G31" s="146">
        <v>0.42399999999999999</v>
      </c>
      <c r="H31" s="147">
        <v>0.42799999999999999</v>
      </c>
      <c r="I31" s="148">
        <v>0.375</v>
      </c>
      <c r="J31" s="64" t="s">
        <v>93</v>
      </c>
      <c r="K31" s="64" t="s">
        <v>93</v>
      </c>
      <c r="L31" s="64" t="s">
        <v>93</v>
      </c>
      <c r="M31">
        <f t="shared" si="1"/>
        <v>0.14133333333333331</v>
      </c>
      <c r="N31" s="144" t="s">
        <v>207</v>
      </c>
      <c r="O31" s="147">
        <v>0.42799999999999999</v>
      </c>
      <c r="P31" s="145">
        <v>0.38600000000000001</v>
      </c>
      <c r="Q31">
        <f t="shared" ref="Q31:V31" si="3">Q30/Q27</f>
        <v>0.40083435841972181</v>
      </c>
      <c r="R31">
        <f t="shared" si="3"/>
        <v>0.40009008991112943</v>
      </c>
      <c r="S31">
        <f t="shared" si="3"/>
        <v>0.40056331935364986</v>
      </c>
      <c r="T31">
        <f t="shared" si="3"/>
        <v>0.4010447705221028</v>
      </c>
      <c r="U31">
        <f t="shared" si="3"/>
        <v>0.40153441892255071</v>
      </c>
      <c r="V31">
        <f t="shared" si="3"/>
        <v>0.40203222823519441</v>
      </c>
    </row>
    <row r="32" spans="2:23" x14ac:dyDescent="0.25">
      <c r="B32" s="64" t="s">
        <v>93</v>
      </c>
      <c r="C32" s="64" t="s">
        <v>93</v>
      </c>
      <c r="D32" s="64" t="s">
        <v>93</v>
      </c>
      <c r="E32" s="64" t="s">
        <v>93</v>
      </c>
      <c r="F32" s="64" t="s">
        <v>93</v>
      </c>
      <c r="G32" s="64" t="s">
        <v>93</v>
      </c>
      <c r="H32" s="64" t="s">
        <v>93</v>
      </c>
      <c r="I32" s="64" t="s">
        <v>93</v>
      </c>
      <c r="J32" s="64" t="s">
        <v>93</v>
      </c>
      <c r="K32" s="64" t="s">
        <v>93</v>
      </c>
      <c r="L32" s="64" t="s">
        <v>93</v>
      </c>
    </row>
    <row r="33" spans="2:22" x14ac:dyDescent="0.25">
      <c r="B33" s="64" t="s">
        <v>93</v>
      </c>
      <c r="C33" s="64" t="s">
        <v>93</v>
      </c>
      <c r="D33" s="64" t="s">
        <v>93</v>
      </c>
      <c r="E33" s="64" t="s">
        <v>93</v>
      </c>
      <c r="F33" s="64" t="s">
        <v>93</v>
      </c>
      <c r="G33" s="64" t="s">
        <v>93</v>
      </c>
      <c r="H33" s="64" t="s">
        <v>93</v>
      </c>
      <c r="I33" s="64" t="s">
        <v>93</v>
      </c>
      <c r="J33" s="64" t="s">
        <v>93</v>
      </c>
      <c r="K33" s="64" t="s">
        <v>93</v>
      </c>
      <c r="L33" s="64" t="s">
        <v>93</v>
      </c>
    </row>
    <row r="34" spans="2:22" x14ac:dyDescent="0.25">
      <c r="B34" s="64" t="s">
        <v>93</v>
      </c>
      <c r="C34" s="64" t="s">
        <v>93</v>
      </c>
      <c r="D34" s="64" t="s">
        <v>93</v>
      </c>
      <c r="E34" s="64" t="s">
        <v>93</v>
      </c>
      <c r="F34" s="64" t="s">
        <v>93</v>
      </c>
      <c r="G34" s="64" t="s">
        <v>93</v>
      </c>
      <c r="H34" s="64" t="s">
        <v>93</v>
      </c>
      <c r="I34" s="64" t="s">
        <v>93</v>
      </c>
      <c r="J34" s="64" t="s">
        <v>93</v>
      </c>
      <c r="K34" s="64" t="s">
        <v>93</v>
      </c>
      <c r="L34" s="64" t="s">
        <v>208</v>
      </c>
      <c r="O34">
        <f>O30/O27</f>
        <v>0.4283230409496972</v>
      </c>
      <c r="P34">
        <f>P30/P27</f>
        <v>0.38574144486692019</v>
      </c>
    </row>
    <row r="35" spans="2:22" ht="15.75" thickBot="1" x14ac:dyDescent="0.3"/>
    <row r="36" spans="2:22" x14ac:dyDescent="0.25">
      <c r="N36" s="140" t="s">
        <v>209</v>
      </c>
      <c r="O36" s="198">
        <v>2023</v>
      </c>
      <c r="P36" s="198">
        <v>2024</v>
      </c>
      <c r="Q36" s="198">
        <v>2025</v>
      </c>
      <c r="R36" s="198">
        <v>2026</v>
      </c>
      <c r="S36" s="198">
        <v>2027</v>
      </c>
      <c r="T36" s="198">
        <v>2028</v>
      </c>
      <c r="U36" s="198"/>
      <c r="V36" s="198"/>
    </row>
    <row r="37" spans="2:22" x14ac:dyDescent="0.25">
      <c r="C37" s="212" t="s">
        <v>181</v>
      </c>
      <c r="D37" s="216">
        <v>2022</v>
      </c>
      <c r="E37" s="224" t="s">
        <v>210</v>
      </c>
      <c r="F37" s="216">
        <v>2023</v>
      </c>
      <c r="N37" s="107" t="s">
        <v>203</v>
      </c>
      <c r="O37" s="199">
        <f>'DCF Foot'!D2/1000000</f>
        <v>122.544</v>
      </c>
      <c r="P37" s="199">
        <f>'DCF Foot'!E2/1000000</f>
        <v>126.22032</v>
      </c>
      <c r="Q37" s="199">
        <f>'DCF Foot'!F2/1000000</f>
        <v>130.00692960000001</v>
      </c>
      <c r="R37" s="199">
        <f>'DCF Foot'!G2/1000000</f>
        <v>133.90713748800002</v>
      </c>
      <c r="S37" s="199">
        <f>'DCF Foot'!H2/1000000</f>
        <v>137.92435161264001</v>
      </c>
      <c r="T37" s="199">
        <f>'DCF Foot'!I2/1000000</f>
        <v>142.06208216101925</v>
      </c>
    </row>
    <row r="38" spans="2:22" ht="30" x14ac:dyDescent="0.25">
      <c r="C38" s="214" t="s">
        <v>211</v>
      </c>
      <c r="D38" s="220">
        <v>1715.5</v>
      </c>
      <c r="E38" s="225">
        <f>'DCF Foot'!D2/1000000</f>
        <v>122.544</v>
      </c>
      <c r="F38" s="217">
        <f>E38+D38</f>
        <v>1838.0440000000001</v>
      </c>
      <c r="N38" s="127" t="s">
        <v>204</v>
      </c>
      <c r="O38" s="199">
        <f>O37-SUM('DCF Foot'!D4:D5)/1000000</f>
        <v>98.078249999999997</v>
      </c>
      <c r="P38" s="199">
        <f>P37-SUM('DCF Foot'!E4:E5)/1000000</f>
        <v>100.38461486833333</v>
      </c>
      <c r="Q38" s="199">
        <f>Q37-SUM('DCF Foot'!F4:F5)/1000000</f>
        <v>103.59037117200704</v>
      </c>
      <c r="R38" s="199">
        <f>R37-SUM('DCF Foot'!G4:G5)/1000000</f>
        <v>106.88078765245778</v>
      </c>
      <c r="S38" s="199">
        <f>S37-SUM('DCF Foot'!H4:H5)/1000000</f>
        <v>110.25783056162439</v>
      </c>
      <c r="T38" s="199">
        <f>T37-SUM('DCF Foot'!I4:I5)/1000000</f>
        <v>113.72349656457536</v>
      </c>
    </row>
    <row r="39" spans="2:22" ht="45" x14ac:dyDescent="0.25">
      <c r="C39" s="215" t="s">
        <v>197</v>
      </c>
      <c r="D39" s="221">
        <f>I17</f>
        <v>1106.8</v>
      </c>
      <c r="E39" s="226">
        <f>SUM('DCF Foot'!D3:D5)/1000000</f>
        <v>59.414249999999996</v>
      </c>
      <c r="F39" s="218">
        <f>E39+D39</f>
        <v>1166.21425</v>
      </c>
      <c r="N39" s="127" t="s">
        <v>205</v>
      </c>
      <c r="O39" t="s">
        <v>212</v>
      </c>
      <c r="P39" s="6">
        <f>P38/O38-1</f>
        <v>2.3515558937209136E-2</v>
      </c>
      <c r="Q39" s="6">
        <f>Q38/P38-1</f>
        <v>3.1934737288960457E-2</v>
      </c>
      <c r="R39" s="6">
        <f>R38/Q38-1</f>
        <v>3.1763729034112176E-2</v>
      </c>
      <c r="S39" s="6">
        <f>S38/R38-1</f>
        <v>3.1596351255827937E-2</v>
      </c>
      <c r="T39" s="6">
        <f>T38/S38-1</f>
        <v>3.143237977110358E-2</v>
      </c>
    </row>
    <row r="40" spans="2:22" x14ac:dyDescent="0.25">
      <c r="C40" s="228" t="s">
        <v>213</v>
      </c>
      <c r="D40" s="221">
        <f>D38-D39</f>
        <v>608.70000000000005</v>
      </c>
      <c r="E40" s="226">
        <f>E38-E39</f>
        <v>63.129750000000001</v>
      </c>
      <c r="F40" s="218">
        <f>F38-F39</f>
        <v>671.8297500000001</v>
      </c>
      <c r="N40" s="130" t="s">
        <v>199</v>
      </c>
      <c r="O40" s="199">
        <f>'DCF Foot'!D6/1000000</f>
        <v>63.129750000000001</v>
      </c>
      <c r="P40" s="199">
        <f>'DCF Foot'!E6/1000000</f>
        <v>62.805051468127722</v>
      </c>
      <c r="Q40" s="199">
        <f>'DCF Foot'!F6/1000000</f>
        <v>64.883420869795273</v>
      </c>
      <c r="R40" s="199">
        <f>'DCF Foot'!G6/1000000</f>
        <v>67.012628841179634</v>
      </c>
      <c r="S40" s="199">
        <f>'DCF Foot'!H6/1000000</f>
        <v>69.193626986007914</v>
      </c>
      <c r="T40" s="199">
        <f>'DCF Foot'!I6/1000000</f>
        <v>71.427366881690375</v>
      </c>
    </row>
    <row r="41" spans="2:22" ht="45" x14ac:dyDescent="0.25">
      <c r="C41" s="215" t="s">
        <v>214</v>
      </c>
      <c r="D41" s="222">
        <f>D40/O30-1</f>
        <v>-0.14795632698768191</v>
      </c>
      <c r="E41" s="222">
        <f>'DCF Foot'!D6/'DCF Foot'!C6-1</f>
        <v>0.63055395920370327</v>
      </c>
      <c r="F41" s="213">
        <f>F40/D40-1</f>
        <v>0.10371241991128644</v>
      </c>
      <c r="N41" s="127" t="s">
        <v>206</v>
      </c>
      <c r="O41" s="199">
        <f>O40+'Footprint Asset Management'!$D$19</f>
        <v>69.419750000000008</v>
      </c>
      <c r="P41" s="199">
        <f>P40+'Footprint Asset Management'!$D$19</f>
        <v>69.095051468127721</v>
      </c>
      <c r="Q41" s="199">
        <f>Q40+'Footprint Asset Management'!$D$19</f>
        <v>71.173420869795279</v>
      </c>
      <c r="R41" s="199">
        <f>R40+'Footprint Asset Management'!$D$19</f>
        <v>73.30262884117964</v>
      </c>
      <c r="S41" s="199">
        <f>S40+'Footprint Asset Management'!$D$19</f>
        <v>75.48362698600792</v>
      </c>
      <c r="T41" s="199">
        <f>T40+'Footprint Asset Management'!$D$19</f>
        <v>77.717366881690381</v>
      </c>
    </row>
    <row r="42" spans="2:22" ht="45" x14ac:dyDescent="0.25">
      <c r="C42" s="215" t="s">
        <v>215</v>
      </c>
      <c r="D42" s="222">
        <f>D40/D38</f>
        <v>0.35482366656951331</v>
      </c>
      <c r="E42" s="222">
        <f>E40/E38</f>
        <v>0.51515986094790445</v>
      </c>
      <c r="F42" s="213">
        <f>F40/F38</f>
        <v>0.36551342078862098</v>
      </c>
      <c r="N42" s="144" t="s">
        <v>207</v>
      </c>
      <c r="O42" s="6">
        <f t="shared" ref="O42:T42" si="4">O41/O38</f>
        <v>0.70779963957350389</v>
      </c>
      <c r="P42" s="6">
        <f t="shared" si="4"/>
        <v>0.68830319824162611</v>
      </c>
      <c r="Q42" s="6">
        <f t="shared" si="4"/>
        <v>0.68706598947903263</v>
      </c>
      <c r="R42" s="6">
        <f t="shared" si="4"/>
        <v>0.68583541019117855</v>
      </c>
      <c r="S42" s="6">
        <f t="shared" si="4"/>
        <v>0.68461012339453964</v>
      </c>
      <c r="T42" s="6">
        <f t="shared" si="4"/>
        <v>0.6833888266666186</v>
      </c>
    </row>
    <row r="43" spans="2:22" x14ac:dyDescent="0.25">
      <c r="C43" s="215" t="s">
        <v>136</v>
      </c>
      <c r="D43" s="221">
        <f>D40*0.2</f>
        <v>121.74000000000001</v>
      </c>
      <c r="E43" s="226">
        <f>E40*0.2</f>
        <v>12.625950000000001</v>
      </c>
      <c r="F43" s="218">
        <f>F40*0.2</f>
        <v>134.36595000000003</v>
      </c>
    </row>
    <row r="44" spans="2:22" x14ac:dyDescent="0.25">
      <c r="C44" s="229" t="s">
        <v>137</v>
      </c>
      <c r="D44" s="223">
        <f>D40-D43</f>
        <v>486.96000000000004</v>
      </c>
      <c r="E44" s="227">
        <f>E40-E43</f>
        <v>50.503799999999998</v>
      </c>
      <c r="F44" s="219">
        <f>F40-F43</f>
        <v>537.46380000000011</v>
      </c>
    </row>
    <row r="45" spans="2:22" x14ac:dyDescent="0.25">
      <c r="H45">
        <f>F44/D44</f>
        <v>1.1037124199112864</v>
      </c>
    </row>
  </sheetData>
  <mergeCells count="4">
    <mergeCell ref="C1:F1"/>
    <mergeCell ref="D2:H2"/>
    <mergeCell ref="I2:J2"/>
    <mergeCell ref="D22:I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9EB5F-C194-42C9-9295-678A2CB400F0}">
  <dimension ref="A1:P30"/>
  <sheetViews>
    <sheetView topLeftCell="A4" zoomScaleNormal="100" workbookViewId="0">
      <selection activeCell="F12" sqref="F12"/>
    </sheetView>
  </sheetViews>
  <sheetFormatPr defaultRowHeight="15" x14ac:dyDescent="0.25"/>
  <cols>
    <col min="2" max="2" width="31" bestFit="1" customWidth="1"/>
  </cols>
  <sheetData>
    <row r="1" spans="1:16" ht="15.75" thickBot="1" x14ac:dyDescent="0.3">
      <c r="A1" s="64" t="s">
        <v>93</v>
      </c>
      <c r="B1" s="149">
        <v>2021</v>
      </c>
      <c r="C1" s="150" t="s">
        <v>216</v>
      </c>
      <c r="D1" s="150" t="s">
        <v>87</v>
      </c>
      <c r="E1" s="151" t="s">
        <v>34</v>
      </c>
      <c r="F1" s="64" t="s">
        <v>93</v>
      </c>
      <c r="G1" s="86" t="s">
        <v>217</v>
      </c>
      <c r="H1" s="64" t="s">
        <v>93</v>
      </c>
      <c r="I1" s="64" t="s">
        <v>93</v>
      </c>
      <c r="J1" s="64" t="s">
        <v>93</v>
      </c>
    </row>
    <row r="2" spans="1:16" ht="15.75" thickBot="1" x14ac:dyDescent="0.3">
      <c r="A2" s="64" t="s">
        <v>93</v>
      </c>
      <c r="B2" s="66" t="s">
        <v>218</v>
      </c>
      <c r="C2" s="152">
        <v>0.2</v>
      </c>
      <c r="D2" s="153">
        <v>0.78</v>
      </c>
      <c r="E2" s="154">
        <v>3.56</v>
      </c>
      <c r="F2" s="64" t="s">
        <v>93</v>
      </c>
      <c r="G2" s="155" t="s">
        <v>93</v>
      </c>
      <c r="H2" s="108" t="s">
        <v>219</v>
      </c>
      <c r="I2" s="64" t="s">
        <v>93</v>
      </c>
      <c r="J2" s="64" t="s">
        <v>93</v>
      </c>
    </row>
    <row r="3" spans="1:16" x14ac:dyDescent="0.25">
      <c r="A3" s="64" t="s">
        <v>93</v>
      </c>
      <c r="B3" s="108" t="s">
        <v>220</v>
      </c>
      <c r="C3" s="156">
        <v>0.2</v>
      </c>
      <c r="D3" s="157">
        <v>0.78</v>
      </c>
      <c r="E3" s="158">
        <v>3.56</v>
      </c>
      <c r="F3" s="64" t="s">
        <v>93</v>
      </c>
      <c r="G3" s="159" t="s">
        <v>93</v>
      </c>
      <c r="H3" s="108" t="s">
        <v>221</v>
      </c>
      <c r="I3" s="64" t="s">
        <v>93</v>
      </c>
      <c r="J3" s="64" t="s">
        <v>93</v>
      </c>
    </row>
    <row r="4" spans="1:16" ht="15.75" thickBot="1" x14ac:dyDescent="0.3">
      <c r="A4" s="64" t="s">
        <v>93</v>
      </c>
      <c r="B4" s="108"/>
      <c r="C4" s="108"/>
      <c r="D4" s="108"/>
      <c r="E4" s="108"/>
      <c r="F4" s="64" t="s">
        <v>93</v>
      </c>
      <c r="G4" s="156" t="s">
        <v>93</v>
      </c>
      <c r="H4" s="108" t="s">
        <v>222</v>
      </c>
      <c r="I4" s="64" t="s">
        <v>93</v>
      </c>
      <c r="J4" s="64" t="s">
        <v>93</v>
      </c>
    </row>
    <row r="5" spans="1:16" ht="15.75" thickBot="1" x14ac:dyDescent="0.3">
      <c r="A5" s="64" t="s">
        <v>93</v>
      </c>
      <c r="B5" s="79" t="s">
        <v>223</v>
      </c>
      <c r="C5" s="160">
        <v>2.2400000000000002</v>
      </c>
      <c r="D5" s="161">
        <v>2.5299999999999998</v>
      </c>
      <c r="E5" s="162">
        <v>4.41</v>
      </c>
      <c r="F5" s="64" t="s">
        <v>93</v>
      </c>
      <c r="G5" s="163" t="s">
        <v>93</v>
      </c>
      <c r="H5" s="108" t="s">
        <v>224</v>
      </c>
      <c r="I5" s="64" t="s">
        <v>93</v>
      </c>
      <c r="J5" s="64" t="s">
        <v>93</v>
      </c>
    </row>
    <row r="6" spans="1:16" x14ac:dyDescent="0.25">
      <c r="A6" s="64" t="s">
        <v>93</v>
      </c>
      <c r="B6" s="108" t="s">
        <v>225</v>
      </c>
      <c r="C6" s="164" t="s">
        <v>18</v>
      </c>
      <c r="D6" s="157">
        <v>3</v>
      </c>
      <c r="E6" s="158">
        <v>7.67</v>
      </c>
      <c r="F6" s="64" t="s">
        <v>93</v>
      </c>
      <c r="G6" s="64" t="s">
        <v>93</v>
      </c>
      <c r="H6" s="64" t="s">
        <v>93</v>
      </c>
      <c r="I6" s="64" t="s">
        <v>93</v>
      </c>
      <c r="J6" s="64" t="s">
        <v>93</v>
      </c>
      <c r="M6" t="s">
        <v>226</v>
      </c>
      <c r="N6" t="s">
        <v>216</v>
      </c>
      <c r="O6" t="s">
        <v>87</v>
      </c>
      <c r="P6" t="s">
        <v>34</v>
      </c>
    </row>
    <row r="7" spans="1:16" ht="15.75" thickBot="1" x14ac:dyDescent="0.3">
      <c r="A7" s="64" t="s">
        <v>93</v>
      </c>
      <c r="B7" s="108" t="s">
        <v>227</v>
      </c>
      <c r="C7" s="159">
        <v>2</v>
      </c>
      <c r="D7" s="157">
        <v>2</v>
      </c>
      <c r="E7" s="157">
        <v>2</v>
      </c>
      <c r="F7" s="64" t="s">
        <v>93</v>
      </c>
      <c r="G7" s="64" t="s">
        <v>93</v>
      </c>
      <c r="H7" s="64" t="s">
        <v>93</v>
      </c>
      <c r="I7" s="64" t="s">
        <v>93</v>
      </c>
      <c r="J7" s="64" t="s">
        <v>93</v>
      </c>
      <c r="M7" s="66" t="s">
        <v>218</v>
      </c>
      <c r="N7" s="152">
        <v>0.2</v>
      </c>
      <c r="O7" s="153">
        <v>0.78</v>
      </c>
      <c r="P7" s="154">
        <v>3.56</v>
      </c>
    </row>
    <row r="8" spans="1:16" ht="15.75" thickBot="1" x14ac:dyDescent="0.3">
      <c r="A8" s="64" t="s">
        <v>93</v>
      </c>
      <c r="B8" s="108" t="s">
        <v>228</v>
      </c>
      <c r="C8" s="165">
        <v>6.65</v>
      </c>
      <c r="D8" s="158">
        <v>5.5</v>
      </c>
      <c r="E8" s="166">
        <v>0.61</v>
      </c>
      <c r="F8" s="64" t="s">
        <v>93</v>
      </c>
      <c r="G8" s="64" t="s">
        <v>93</v>
      </c>
      <c r="H8" s="64" t="s">
        <v>93</v>
      </c>
      <c r="I8" s="64" t="s">
        <v>93</v>
      </c>
      <c r="J8" s="64" t="s">
        <v>93</v>
      </c>
      <c r="M8" s="79" t="s">
        <v>223</v>
      </c>
      <c r="N8" s="160">
        <v>2.2400000000000002</v>
      </c>
      <c r="O8" s="161">
        <v>2.5299999999999998</v>
      </c>
      <c r="P8" s="162">
        <v>4.41</v>
      </c>
    </row>
    <row r="9" spans="1:16" x14ac:dyDescent="0.25">
      <c r="A9" s="64" t="s">
        <v>93</v>
      </c>
      <c r="B9" s="108" t="s">
        <v>229</v>
      </c>
      <c r="C9" s="165">
        <v>3</v>
      </c>
      <c r="D9" s="166">
        <v>0</v>
      </c>
      <c r="E9" s="158">
        <v>9.2200000000000006</v>
      </c>
      <c r="F9" s="64" t="s">
        <v>93</v>
      </c>
      <c r="G9" s="64" t="s">
        <v>93</v>
      </c>
      <c r="H9" s="64" t="s">
        <v>93</v>
      </c>
      <c r="I9" s="64" t="s">
        <v>93</v>
      </c>
      <c r="J9" s="64" t="s">
        <v>93</v>
      </c>
      <c r="M9" s="77" t="s">
        <v>230</v>
      </c>
      <c r="N9" s="169">
        <v>8.3000000000000007</v>
      </c>
      <c r="O9" s="153">
        <v>6.09</v>
      </c>
      <c r="P9" s="153">
        <v>5.52</v>
      </c>
    </row>
    <row r="10" spans="1:16" ht="15.75" thickBot="1" x14ac:dyDescent="0.3">
      <c r="A10" s="64" t="s">
        <v>93</v>
      </c>
      <c r="B10" s="108" t="s">
        <v>231</v>
      </c>
      <c r="C10" s="167">
        <v>0</v>
      </c>
      <c r="D10" s="108"/>
      <c r="E10" s="108"/>
      <c r="F10" s="64" t="s">
        <v>93</v>
      </c>
      <c r="G10" s="64" t="s">
        <v>93</v>
      </c>
      <c r="H10" s="64" t="s">
        <v>93</v>
      </c>
      <c r="I10" s="64" t="s">
        <v>93</v>
      </c>
      <c r="J10" s="64" t="s">
        <v>93</v>
      </c>
      <c r="M10" s="77" t="s">
        <v>232</v>
      </c>
      <c r="N10" s="169">
        <v>8.33</v>
      </c>
      <c r="O10" s="153">
        <v>5.1100000000000003</v>
      </c>
      <c r="P10" s="153">
        <v>3.54</v>
      </c>
    </row>
    <row r="11" spans="1:16" ht="15.75" thickBot="1" x14ac:dyDescent="0.3">
      <c r="A11" s="64" t="s">
        <v>93</v>
      </c>
      <c r="B11" s="79" t="s">
        <v>233</v>
      </c>
      <c r="C11" s="160">
        <v>7.2</v>
      </c>
      <c r="D11" s="161">
        <v>6.29</v>
      </c>
      <c r="E11" s="168">
        <v>5.05</v>
      </c>
      <c r="F11" s="64" t="s">
        <v>93</v>
      </c>
      <c r="G11" s="64" t="s">
        <v>93</v>
      </c>
      <c r="H11" s="64" t="s">
        <v>93</v>
      </c>
      <c r="I11" s="64" t="s">
        <v>93</v>
      </c>
      <c r="J11" s="64" t="s">
        <v>93</v>
      </c>
      <c r="M11" s="77" t="s">
        <v>234</v>
      </c>
      <c r="N11" s="171">
        <v>4.29</v>
      </c>
      <c r="O11" s="153">
        <v>6.3</v>
      </c>
      <c r="P11" s="153">
        <v>6.07</v>
      </c>
    </row>
    <row r="12" spans="1:16" x14ac:dyDescent="0.25">
      <c r="A12" s="64" t="s">
        <v>93</v>
      </c>
      <c r="B12" s="77" t="s">
        <v>230</v>
      </c>
      <c r="C12" s="169">
        <v>8.3000000000000007</v>
      </c>
      <c r="D12" s="153">
        <v>6.09</v>
      </c>
      <c r="E12" s="153">
        <v>5.52</v>
      </c>
      <c r="F12" s="64" t="s">
        <v>93</v>
      </c>
      <c r="G12" s="64" t="s">
        <v>93</v>
      </c>
      <c r="H12" s="64" t="s">
        <v>93</v>
      </c>
      <c r="I12" s="64" t="s">
        <v>93</v>
      </c>
      <c r="J12" s="64" t="s">
        <v>93</v>
      </c>
      <c r="M12" s="77" t="s">
        <v>235</v>
      </c>
      <c r="N12" s="152">
        <v>8.32</v>
      </c>
      <c r="O12" s="154">
        <v>8.7100000000000009</v>
      </c>
      <c r="P12" s="172">
        <v>4.78</v>
      </c>
    </row>
    <row r="13" spans="1:16" x14ac:dyDescent="0.25">
      <c r="A13" s="64" t="s">
        <v>93</v>
      </c>
      <c r="B13" s="108" t="s">
        <v>236</v>
      </c>
      <c r="C13" s="159">
        <v>8.52</v>
      </c>
      <c r="D13" s="170">
        <v>4.3</v>
      </c>
      <c r="E13" s="157">
        <v>8.19</v>
      </c>
      <c r="F13" s="64" t="s">
        <v>93</v>
      </c>
      <c r="G13" s="64" t="s">
        <v>93</v>
      </c>
      <c r="H13" s="64" t="s">
        <v>93</v>
      </c>
      <c r="I13" s="64" t="s">
        <v>93</v>
      </c>
      <c r="J13" s="64" t="s">
        <v>93</v>
      </c>
    </row>
    <row r="14" spans="1:16" x14ac:dyDescent="0.25">
      <c r="A14" s="64" t="s">
        <v>93</v>
      </c>
      <c r="B14" s="108" t="s">
        <v>237</v>
      </c>
      <c r="C14" s="159">
        <v>6.9</v>
      </c>
      <c r="D14" s="170">
        <v>4.0999999999999996</v>
      </c>
      <c r="E14" s="170">
        <v>4.8499999999999996</v>
      </c>
      <c r="F14" s="64" t="s">
        <v>93</v>
      </c>
      <c r="G14" s="64" t="s">
        <v>93</v>
      </c>
      <c r="H14" s="64" t="s">
        <v>93</v>
      </c>
      <c r="I14" s="64" t="s">
        <v>93</v>
      </c>
      <c r="J14" s="64" t="s">
        <v>93</v>
      </c>
    </row>
    <row r="15" spans="1:16" x14ac:dyDescent="0.25">
      <c r="A15" s="64" t="s">
        <v>93</v>
      </c>
      <c r="B15" s="108" t="s">
        <v>238</v>
      </c>
      <c r="C15" s="159">
        <v>8.17</v>
      </c>
      <c r="D15" s="158">
        <v>10</v>
      </c>
      <c r="E15" s="166">
        <v>3.6</v>
      </c>
      <c r="F15" s="64" t="s">
        <v>93</v>
      </c>
      <c r="G15" s="64" t="s">
        <v>93</v>
      </c>
      <c r="H15" s="64" t="s">
        <v>93</v>
      </c>
      <c r="I15" s="64" t="s">
        <v>93</v>
      </c>
      <c r="J15" s="64" t="s">
        <v>93</v>
      </c>
    </row>
    <row r="16" spans="1:16" x14ac:dyDescent="0.25">
      <c r="A16" s="64" t="s">
        <v>93</v>
      </c>
      <c r="B16" s="108" t="s">
        <v>239</v>
      </c>
      <c r="C16" s="165">
        <v>9.74</v>
      </c>
      <c r="D16" s="158">
        <v>10</v>
      </c>
      <c r="E16" s="157">
        <v>7.99</v>
      </c>
      <c r="F16" s="64" t="s">
        <v>93</v>
      </c>
      <c r="G16" s="64" t="s">
        <v>93</v>
      </c>
      <c r="H16" s="64" t="s">
        <v>93</v>
      </c>
      <c r="I16" s="64" t="s">
        <v>93</v>
      </c>
      <c r="J16" s="64" t="s">
        <v>93</v>
      </c>
    </row>
    <row r="17" spans="1:10" x14ac:dyDescent="0.25">
      <c r="A17" s="64" t="s">
        <v>93</v>
      </c>
      <c r="B17" s="77" t="s">
        <v>232</v>
      </c>
      <c r="C17" s="169">
        <v>8.33</v>
      </c>
      <c r="D17" s="153">
        <v>5.1100000000000003</v>
      </c>
      <c r="E17" s="153">
        <v>3.54</v>
      </c>
      <c r="F17" s="64" t="s">
        <v>93</v>
      </c>
      <c r="G17" s="64" t="s">
        <v>93</v>
      </c>
      <c r="H17" s="64" t="s">
        <v>93</v>
      </c>
      <c r="I17" s="64" t="s">
        <v>93</v>
      </c>
      <c r="J17" s="64" t="s">
        <v>93</v>
      </c>
    </row>
    <row r="18" spans="1:10" x14ac:dyDescent="0.25">
      <c r="A18" s="64" t="s">
        <v>93</v>
      </c>
      <c r="B18" s="108" t="s">
        <v>240</v>
      </c>
      <c r="C18" s="159">
        <v>8.06</v>
      </c>
      <c r="D18" s="170">
        <v>4.45</v>
      </c>
      <c r="E18" s="170">
        <v>2.81</v>
      </c>
      <c r="F18" s="64" t="s">
        <v>93</v>
      </c>
      <c r="G18" s="64" t="s">
        <v>93</v>
      </c>
      <c r="H18" s="64" t="s">
        <v>93</v>
      </c>
      <c r="I18" s="64" t="s">
        <v>93</v>
      </c>
      <c r="J18" s="64" t="s">
        <v>93</v>
      </c>
    </row>
    <row r="19" spans="1:10" x14ac:dyDescent="0.25">
      <c r="A19" s="64" t="s">
        <v>93</v>
      </c>
      <c r="B19" s="108" t="s">
        <v>241</v>
      </c>
      <c r="C19" s="159">
        <v>8.99</v>
      </c>
      <c r="D19" s="157">
        <v>5.23</v>
      </c>
      <c r="E19" s="166">
        <v>0.31</v>
      </c>
      <c r="F19" s="64" t="s">
        <v>93</v>
      </c>
      <c r="G19" s="64" t="s">
        <v>93</v>
      </c>
      <c r="H19" s="64" t="s">
        <v>93</v>
      </c>
      <c r="I19" s="64" t="s">
        <v>93</v>
      </c>
      <c r="J19" s="64" t="s">
        <v>93</v>
      </c>
    </row>
    <row r="20" spans="1:10" x14ac:dyDescent="0.25">
      <c r="A20" s="64" t="s">
        <v>93</v>
      </c>
      <c r="B20" s="108" t="s">
        <v>242</v>
      </c>
      <c r="C20" s="165">
        <v>7.96</v>
      </c>
      <c r="D20" s="170">
        <v>5.66</v>
      </c>
      <c r="E20" s="157">
        <v>7.5</v>
      </c>
      <c r="F20" s="64" t="s">
        <v>93</v>
      </c>
      <c r="G20" s="64" t="s">
        <v>93</v>
      </c>
      <c r="H20" s="64" t="s">
        <v>93</v>
      </c>
      <c r="I20" s="64" t="s">
        <v>93</v>
      </c>
      <c r="J20" s="64" t="s">
        <v>93</v>
      </c>
    </row>
    <row r="21" spans="1:10" x14ac:dyDescent="0.25">
      <c r="A21" s="64" t="s">
        <v>93</v>
      </c>
      <c r="B21" s="77" t="s">
        <v>234</v>
      </c>
      <c r="C21" s="171">
        <v>4.29</v>
      </c>
      <c r="D21" s="153">
        <v>6.3</v>
      </c>
      <c r="E21" s="153">
        <v>6.07</v>
      </c>
      <c r="F21" s="64" t="s">
        <v>93</v>
      </c>
      <c r="G21" s="64" t="s">
        <v>93</v>
      </c>
      <c r="H21" s="64" t="s">
        <v>93</v>
      </c>
      <c r="I21" s="64" t="s">
        <v>93</v>
      </c>
      <c r="J21" s="64" t="s">
        <v>93</v>
      </c>
    </row>
    <row r="22" spans="1:10" x14ac:dyDescent="0.25">
      <c r="A22" s="64" t="s">
        <v>93</v>
      </c>
      <c r="B22" s="108" t="s">
        <v>243</v>
      </c>
      <c r="C22" s="156">
        <v>4.8499999999999996</v>
      </c>
      <c r="D22" s="158">
        <v>9.6300000000000008</v>
      </c>
      <c r="E22" s="158">
        <v>9.39</v>
      </c>
      <c r="F22" s="64" t="s">
        <v>93</v>
      </c>
      <c r="G22" s="64" t="s">
        <v>93</v>
      </c>
      <c r="H22" s="64" t="s">
        <v>93</v>
      </c>
      <c r="I22" s="64" t="s">
        <v>93</v>
      </c>
      <c r="J22" s="64" t="s">
        <v>93</v>
      </c>
    </row>
    <row r="23" spans="1:10" x14ac:dyDescent="0.25">
      <c r="A23" s="64" t="s">
        <v>93</v>
      </c>
      <c r="B23" s="108" t="s">
        <v>244</v>
      </c>
      <c r="C23" s="163">
        <v>3.75</v>
      </c>
      <c r="D23" s="166">
        <v>3.11</v>
      </c>
      <c r="E23" s="166">
        <v>3.38</v>
      </c>
      <c r="F23" s="64" t="s">
        <v>93</v>
      </c>
      <c r="G23" s="64" t="s">
        <v>93</v>
      </c>
      <c r="H23" s="64" t="s">
        <v>93</v>
      </c>
      <c r="I23" s="64" t="s">
        <v>93</v>
      </c>
      <c r="J23" s="64" t="s">
        <v>93</v>
      </c>
    </row>
    <row r="24" spans="1:10" x14ac:dyDescent="0.25">
      <c r="A24" s="64" t="s">
        <v>93</v>
      </c>
      <c r="B24" s="77" t="s">
        <v>235</v>
      </c>
      <c r="C24" s="152">
        <v>8.32</v>
      </c>
      <c r="D24" s="154">
        <v>8.7100000000000009</v>
      </c>
      <c r="E24" s="172">
        <v>4.78</v>
      </c>
      <c r="F24" s="64" t="s">
        <v>93</v>
      </c>
      <c r="G24" s="64" t="s">
        <v>93</v>
      </c>
      <c r="H24" s="64" t="s">
        <v>93</v>
      </c>
      <c r="I24" s="64" t="s">
        <v>93</v>
      </c>
      <c r="J24" s="64" t="s">
        <v>93</v>
      </c>
    </row>
    <row r="25" spans="1:10" x14ac:dyDescent="0.25">
      <c r="A25" s="64" t="s">
        <v>93</v>
      </c>
      <c r="B25" s="108" t="s">
        <v>245</v>
      </c>
      <c r="C25" s="159">
        <v>9.49</v>
      </c>
      <c r="D25" s="157">
        <v>9.49</v>
      </c>
      <c r="E25" s="166">
        <v>5.59</v>
      </c>
      <c r="F25" s="64" t="s">
        <v>93</v>
      </c>
      <c r="G25" s="64" t="s">
        <v>93</v>
      </c>
      <c r="H25" s="64" t="s">
        <v>93</v>
      </c>
      <c r="I25" s="64" t="s">
        <v>93</v>
      </c>
      <c r="J25" s="64" t="s">
        <v>93</v>
      </c>
    </row>
    <row r="26" spans="1:10" x14ac:dyDescent="0.25">
      <c r="A26" s="64" t="s">
        <v>93</v>
      </c>
      <c r="B26" s="108" t="s">
        <v>246</v>
      </c>
      <c r="C26" s="156">
        <v>6.47</v>
      </c>
      <c r="D26" s="158">
        <v>7.28</v>
      </c>
      <c r="E26" s="166">
        <v>1.35</v>
      </c>
      <c r="F26" s="64" t="s">
        <v>93</v>
      </c>
      <c r="G26" s="64" t="s">
        <v>93</v>
      </c>
      <c r="H26" s="64" t="s">
        <v>93</v>
      </c>
      <c r="I26" s="64" t="s">
        <v>93</v>
      </c>
      <c r="J26" s="64" t="s">
        <v>93</v>
      </c>
    </row>
    <row r="27" spans="1:10" x14ac:dyDescent="0.25">
      <c r="A27" s="64" t="s">
        <v>93</v>
      </c>
      <c r="B27" s="108" t="s">
        <v>247</v>
      </c>
      <c r="C27" s="165">
        <v>10</v>
      </c>
      <c r="D27" s="157">
        <v>10</v>
      </c>
      <c r="E27" s="157">
        <v>10</v>
      </c>
      <c r="F27" s="64" t="s">
        <v>93</v>
      </c>
      <c r="G27" s="64" t="s">
        <v>93</v>
      </c>
      <c r="H27" s="64" t="s">
        <v>93</v>
      </c>
      <c r="I27" s="64" t="s">
        <v>93</v>
      </c>
      <c r="J27" s="64" t="s">
        <v>93</v>
      </c>
    </row>
    <row r="28" spans="1:10" x14ac:dyDescent="0.25">
      <c r="A28" s="64" t="s">
        <v>93</v>
      </c>
      <c r="B28" s="64" t="s">
        <v>93</v>
      </c>
      <c r="C28" s="64" t="s">
        <v>93</v>
      </c>
      <c r="D28" s="64" t="s">
        <v>93</v>
      </c>
      <c r="E28" s="64" t="s">
        <v>93</v>
      </c>
      <c r="F28" s="64" t="s">
        <v>93</v>
      </c>
      <c r="G28" s="64" t="s">
        <v>93</v>
      </c>
      <c r="H28" s="64" t="s">
        <v>93</v>
      </c>
      <c r="I28" s="64" t="s">
        <v>93</v>
      </c>
      <c r="J28" s="64" t="s">
        <v>93</v>
      </c>
    </row>
    <row r="29" spans="1:10" x14ac:dyDescent="0.25">
      <c r="A29" s="64" t="s">
        <v>93</v>
      </c>
      <c r="B29" s="64" t="s">
        <v>93</v>
      </c>
      <c r="C29" s="64" t="s">
        <v>93</v>
      </c>
      <c r="D29" s="64" t="s">
        <v>93</v>
      </c>
      <c r="E29" s="64" t="s">
        <v>93</v>
      </c>
      <c r="F29" s="64" t="s">
        <v>93</v>
      </c>
      <c r="G29" s="64" t="s">
        <v>93</v>
      </c>
      <c r="H29" s="64" t="s">
        <v>93</v>
      </c>
      <c r="I29" s="64" t="s">
        <v>93</v>
      </c>
      <c r="J29" s="64" t="s">
        <v>93</v>
      </c>
    </row>
    <row r="30" spans="1:10" x14ac:dyDescent="0.25">
      <c r="A30" s="64" t="s">
        <v>93</v>
      </c>
      <c r="B30" s="64" t="s">
        <v>93</v>
      </c>
      <c r="C30" s="64" t="s">
        <v>93</v>
      </c>
      <c r="D30" s="64" t="s">
        <v>93</v>
      </c>
      <c r="E30" s="64" t="s">
        <v>93</v>
      </c>
      <c r="F30" s="64" t="s">
        <v>93</v>
      </c>
      <c r="G30" s="64" t="s">
        <v>93</v>
      </c>
      <c r="H30" s="64" t="s">
        <v>93</v>
      </c>
      <c r="I30" s="64" t="s">
        <v>93</v>
      </c>
      <c r="J30" s="64" t="s">
        <v>93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DCF Quant</vt:lpstr>
      <vt:lpstr>DCF Foot</vt:lpstr>
      <vt:lpstr>Beta &amp; WACC Calculation</vt:lpstr>
      <vt:lpstr>Quant Impact Partners</vt:lpstr>
      <vt:lpstr>Footprint Asset Management</vt:lpstr>
      <vt:lpstr>PGI 2022 AUM</vt:lpstr>
      <vt:lpstr>PGI IS &amp; Summary</vt:lpstr>
      <vt:lpstr>ESG Scores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Augustine Quintero</dc:creator>
  <cp:keywords/>
  <dc:description/>
  <cp:lastModifiedBy>Inchul Suh</cp:lastModifiedBy>
  <cp:revision/>
  <dcterms:created xsi:type="dcterms:W3CDTF">2023-03-26T19:58:54Z</dcterms:created>
  <dcterms:modified xsi:type="dcterms:W3CDTF">2023-03-27T17:29:34Z</dcterms:modified>
  <cp:category/>
  <cp:contentStatus/>
</cp:coreProperties>
</file>