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  <externalReference r:id="rId5"/>
  </externalReferences>
  <definedNames>
    <definedName name="ListOffset" hidden="1">2</definedName>
    <definedName name="RecalcRequired" localSheetId="0" hidden="1">""</definedName>
    <definedName name="ReportGroup" localSheetId="0" hidden="1">"0"</definedName>
    <definedName name="RIChartType" localSheetId="0" hidden="1">""</definedName>
    <definedName name="RIReportType" localSheetId="0" hidden="1">"0"</definedName>
    <definedName name="Set">" "</definedName>
    <definedName name="SheetTicker" localSheetId="0" hidden="1">"INTC"</definedName>
    <definedName name="SPRI_ShowListBox" localSheetId="0" hidden="1">"-1"</definedName>
    <definedName name="SPWS_WBID">"ACBEF7D7-D2DD-4D28-98A9-16335105C890"</definedName>
    <definedName name="SPWS_WSID" localSheetId="0" hidden="1">"742C0638-4788-4447-8477-3D589DAE89F2"</definedName>
    <definedName name="Ticker">"INTC"</definedName>
  </definedNames>
  <calcPr fullCalcOnLoad="1"/>
</workbook>
</file>

<file path=xl/sharedStrings.xml><?xml version="1.0" encoding="utf-8"?>
<sst xmlns="http://schemas.openxmlformats.org/spreadsheetml/2006/main" count="48" uniqueCount="48">
  <si>
    <t>TICKER:</t>
  </si>
  <si>
    <t>SIC:</t>
  </si>
  <si>
    <t>GICS:</t>
  </si>
  <si>
    <t>Sales</t>
  </si>
  <si>
    <t>Cost of Sales</t>
  </si>
  <si>
    <t>Gross Profit</t>
  </si>
  <si>
    <t>SG&amp;&amp;A</t>
  </si>
  <si>
    <t>EBITDA</t>
  </si>
  <si>
    <t>Depreciation</t>
  </si>
  <si>
    <t>EBIT</t>
  </si>
  <si>
    <t>Interest Expense</t>
  </si>
  <si>
    <t>Nonop Income/Expense</t>
  </si>
  <si>
    <t>Special Items</t>
  </si>
  <si>
    <t>Pretax Income</t>
  </si>
  <si>
    <t>Total Taxes</t>
  </si>
  <si>
    <t>Income Bef Extra Items</t>
  </si>
  <si>
    <t>Cash Preferred Div</t>
  </si>
  <si>
    <t>Disc Operations</t>
  </si>
  <si>
    <t>Extra Items</t>
  </si>
  <si>
    <t>Net Income</t>
  </si>
  <si>
    <t>Cash</t>
  </si>
  <si>
    <t>Receivables</t>
  </si>
  <si>
    <t>Bad Debt Reserve</t>
  </si>
  <si>
    <t>Inventory</t>
  </si>
  <si>
    <t>Total Current Assets</t>
  </si>
  <si>
    <t>PP&amp;E</t>
  </si>
  <si>
    <t>Intangibles</t>
  </si>
  <si>
    <t>Deferred Charges</t>
  </si>
  <si>
    <t>Equity Investments</t>
  </si>
  <si>
    <t>Other Investments</t>
  </si>
  <si>
    <t>Total Assets</t>
  </si>
  <si>
    <t xml:space="preserve">Debt - Current Portion </t>
  </si>
  <si>
    <t>Notes Payable</t>
  </si>
  <si>
    <t>Accounts Payable</t>
  </si>
  <si>
    <t>Taxes Payable</t>
  </si>
  <si>
    <t>Total Current Liabilities</t>
  </si>
  <si>
    <t>Total Long Term Debt</t>
  </si>
  <si>
    <t>Deferred LT Taxes</t>
  </si>
  <si>
    <t>Total Liabilities</t>
  </si>
  <si>
    <t>Preferred Stock - Total</t>
  </si>
  <si>
    <t>Common Equity</t>
  </si>
  <si>
    <t>Total Stockholders' Equity</t>
  </si>
  <si>
    <t>Common Shares O/S</t>
  </si>
  <si>
    <t>Price-Close Fiscal Year</t>
  </si>
  <si>
    <t>Cash Dividends-Common</t>
  </si>
  <si>
    <t>Company:</t>
  </si>
  <si>
    <t>Income Statement</t>
  </si>
  <si>
    <t>Balance 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</si>
</sst>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  <numFmt numFmtId="166" formatCode="0_);\(0\)"/>
  </numFmts>
  <fonts count="4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/>
    </xf>
    <xf numFmtId="164" fontId="5" fillId="37" borderId="10" xfId="0" applyNumberFormat="1" applyFont="1" applyFill="1" applyBorder="1" applyAlignment="1">
      <alignment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166" fontId="3" fillId="38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Research%20Insight\Excel\Spri80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esearch%20Insight\Excel\SPRI80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I Button Ca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RI Button Caps"/>
    </sheetNames>
    <definedNames>
      <definedName name="SPW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bestFit="1" customWidth="1"/>
    <col min="2" max="12" width="13.421875" style="1" bestFit="1" customWidth="1"/>
    <col min="13" max="16384" width="9.140625" style="1" customWidth="1"/>
  </cols>
  <sheetData>
    <row r="2" spans="1:3" ht="12.75">
      <c r="A2" s="5" t="s">
        <v>45</v>
      </c>
      <c r="B2" s="11" t="str">
        <f>[2]!SPWS(Ticker,"CONM")</f>
        <v>INTEL CORP</v>
      </c>
      <c r="C2" s="11"/>
    </row>
    <row r="3" spans="1:3" ht="12.75">
      <c r="A3" s="5" t="s">
        <v>0</v>
      </c>
      <c r="B3" s="12" t="str">
        <f>[2]!SPWS(Ticker,"TIC")</f>
        <v>INTC</v>
      </c>
      <c r="C3" s="12"/>
    </row>
    <row r="4" spans="1:3" ht="12.75">
      <c r="A4" s="5" t="s">
        <v>1</v>
      </c>
      <c r="B4" s="13">
        <f>[2]!SPWS(Ticker,"SIC")</f>
        <v>3674</v>
      </c>
      <c r="C4" s="13"/>
    </row>
    <row r="5" spans="1:3" ht="12.75">
      <c r="A5" s="5" t="s">
        <v>2</v>
      </c>
      <c r="B5" s="12" t="str">
        <f>[2]!SPWS(Ticker,"SPGICX")</f>
        <v>45301020</v>
      </c>
      <c r="C5" s="12"/>
    </row>
    <row r="7" spans="1:12" s="3" customFormat="1" ht="12.75">
      <c r="A7" s="4" t="s">
        <v>46</v>
      </c>
      <c r="B7" s="7" t="str">
        <f>[2]!SPWS(Ticker,"@MNT(-10Y)")</f>
        <v>Dec01</v>
      </c>
      <c r="C7" s="7" t="str">
        <f>[2]!SPWS(Ticker,"@MNT(-9Y)")</f>
        <v>Dec02</v>
      </c>
      <c r="D7" s="7" t="str">
        <f>[2]!SPWS(Ticker,"@MNT(-8Y)")</f>
        <v>Dec03</v>
      </c>
      <c r="E7" s="7" t="str">
        <f>[2]!SPWS(Ticker,"@MNT(-7Y)")</f>
        <v>Dec04</v>
      </c>
      <c r="F7" s="7" t="str">
        <f>[2]!SPWS(Ticker,"@MNT(-6Y)")</f>
        <v>Dec05</v>
      </c>
      <c r="G7" s="7" t="str">
        <f>[2]!SPWS(Ticker,"@MNT(-5Y)")</f>
        <v>Dec06</v>
      </c>
      <c r="H7" s="7" t="str">
        <f>[2]!SPWS(Ticker,"@MNT(-4Y)")</f>
        <v>Dec07</v>
      </c>
      <c r="I7" s="7" t="str">
        <f>[2]!SPWS(Ticker,"@MNT(-3Y)")</f>
        <v>Dec08</v>
      </c>
      <c r="J7" s="7" t="str">
        <f>[2]!SPWS(Ticker,"@MNT(-2Y)")</f>
        <v>Dec09</v>
      </c>
      <c r="K7" s="7" t="str">
        <f>[2]!SPWS(Ticker,"@MNT(-1Y)")</f>
        <v>Dec10</v>
      </c>
      <c r="L7" s="7" t="str">
        <f>[2]!SPWS(Ticker,"@MNT(0Y)")</f>
        <v>Dec11</v>
      </c>
    </row>
    <row r="8" spans="1:12" s="2" customFormat="1" ht="12.75">
      <c r="A8" s="8" t="s">
        <v>3</v>
      </c>
      <c r="B8" s="9">
        <f>[2]!SPWS(Ticker,"Sale[-10Y]")</f>
        <v>26539</v>
      </c>
      <c r="C8" s="9">
        <f>[2]!SPWS(Ticker,"Sale[-9Y]")</f>
        <v>26764</v>
      </c>
      <c r="D8" s="9">
        <f>[2]!SPWS(Ticker,"Sale[-8Y]")</f>
        <v>30141</v>
      </c>
      <c r="E8" s="9">
        <f>[2]!SPWS(Ticker,"Sale[-7Y]")</f>
        <v>34209</v>
      </c>
      <c r="F8" s="9">
        <f>[2]!SPWS(Ticker,"Sale[-6Y]")</f>
        <v>38826</v>
      </c>
      <c r="G8" s="9">
        <f>[2]!SPWS(Ticker,"Sale[-5Y]")</f>
        <v>35382</v>
      </c>
      <c r="H8" s="9">
        <f>[2]!SPWS(Ticker,"Sale[-4Y]")</f>
        <v>38334</v>
      </c>
      <c r="I8" s="9">
        <f>[2]!SPWS(Ticker,"Sale[-3Y]")</f>
        <v>37586</v>
      </c>
      <c r="J8" s="9">
        <f>[2]!SPWS(Ticker,"Sale[-2Y]")</f>
        <v>35127</v>
      </c>
      <c r="K8" s="9">
        <f>[2]!SPWS(Ticker,"Sale[-1Y]")</f>
        <v>43623</v>
      </c>
      <c r="L8" s="9">
        <f>[2]!SPWS(Ticker,"Sale[0Y]")</f>
        <v>53999</v>
      </c>
    </row>
    <row r="9" spans="1:12" ht="12.75">
      <c r="A9" s="6" t="s">
        <v>4</v>
      </c>
      <c r="B9" s="10">
        <f>[2]!SPWS(Ticker,"cogs[-10Y]")</f>
        <v>9649</v>
      </c>
      <c r="C9" s="10">
        <f>[2]!SPWS(Ticker,"cogs[-9Y]")</f>
        <v>8389</v>
      </c>
      <c r="D9" s="10">
        <f>[2]!SPWS(Ticker,"cogs[-8Y]")</f>
        <v>8253</v>
      </c>
      <c r="E9" s="10">
        <f>[2]!SPWS(Ticker,"cogs[-7Y]")</f>
        <v>9591</v>
      </c>
      <c r="F9" s="10">
        <f>[2]!SPWS(Ticker,"cogs[-6Y]")</f>
        <v>11295</v>
      </c>
      <c r="G9" s="10">
        <f>[2]!SPWS(Ticker,"cogs[-5Y]")</f>
        <v>12354</v>
      </c>
      <c r="H9" s="10">
        <f>[2]!SPWS(Ticker,"cogs[-4Y]")</f>
        <v>13535</v>
      </c>
      <c r="I9" s="10">
        <f>[2]!SPWS(Ticker,"cogs[-3Y]")</f>
        <v>12123</v>
      </c>
      <c r="J9" s="10">
        <f>[2]!SPWS(Ticker,"cogs[-2Y]")</f>
        <v>10549</v>
      </c>
      <c r="K9" s="10">
        <f>[2]!SPWS(Ticker,"cogs[-1Y]")</f>
        <v>10201</v>
      </c>
      <c r="L9" s="10">
        <f>[2]!SPWS(Ticker,"cogs[0Y]")</f>
        <v>13983</v>
      </c>
    </row>
    <row r="10" spans="1:12" ht="12.75">
      <c r="A10" s="6" t="s">
        <v>5</v>
      </c>
      <c r="B10" s="10">
        <f>[2]!SPWS(Ticker,"(SALE-COGS)[-10Y]")</f>
        <v>16890</v>
      </c>
      <c r="C10" s="10">
        <f>[2]!SPWS(Ticker,"(SALE-COGS)[-9Y]")</f>
        <v>18375</v>
      </c>
      <c r="D10" s="10">
        <f>[2]!SPWS(Ticker,"(SALE-COGS)[-8Y]")</f>
        <v>21888</v>
      </c>
      <c r="E10" s="10">
        <f>[2]!SPWS(Ticker,"(SALE-COGS)[-7Y]")</f>
        <v>24618</v>
      </c>
      <c r="F10" s="10">
        <f>[2]!SPWS(Ticker,"(SALE-COGS)[-6Y]")</f>
        <v>27531</v>
      </c>
      <c r="G10" s="10">
        <f>[2]!SPWS(Ticker,"(SALE-COGS)[-5Y]")</f>
        <v>23028</v>
      </c>
      <c r="H10" s="10">
        <f>[2]!SPWS(Ticker,"(SALE-COGS)[-4Y]")</f>
        <v>24799</v>
      </c>
      <c r="I10" s="10">
        <f>[2]!SPWS(Ticker,"(SALE-COGS)[-3Y]")</f>
        <v>25463</v>
      </c>
      <c r="J10" s="10">
        <f>[2]!SPWS(Ticker,"(SALE-COGS)[-2Y]")</f>
        <v>24578</v>
      </c>
      <c r="K10" s="10">
        <f>[2]!SPWS(Ticker,"(SALE-COGS)[-1Y]")</f>
        <v>33422</v>
      </c>
      <c r="L10" s="10">
        <f>[2]!SPWS(Ticker,"(SALE-COGS)[0Y]")</f>
        <v>40016</v>
      </c>
    </row>
    <row r="11" spans="1:12" ht="12.75">
      <c r="A11" s="6" t="s">
        <v>6</v>
      </c>
      <c r="B11" s="10">
        <f>[2]!SPWS(Ticker,"xsga[-10Y]")</f>
        <v>8260</v>
      </c>
      <c r="C11" s="10">
        <f>[2]!SPWS(Ticker,"xsga[-9Y]")</f>
        <v>8543</v>
      </c>
      <c r="D11" s="10">
        <f>[2]!SPWS(Ticker,"xsga[-8Y]")</f>
        <v>8736</v>
      </c>
      <c r="E11" s="10">
        <f>[2]!SPWS(Ticker,"xsga[-7Y]")</f>
        <v>9466</v>
      </c>
      <c r="F11" s="10">
        <f>[2]!SPWS(Ticker,"xsga[-6Y]")</f>
        <v>10833</v>
      </c>
      <c r="G11" s="10">
        <f>[2]!SPWS(Ticker,"xsga[-5Y]")</f>
        <v>11969</v>
      </c>
      <c r="H11" s="10">
        <f>[2]!SPWS(Ticker,"xsga[-4Y]")</f>
        <v>11156</v>
      </c>
      <c r="I11" s="10">
        <f>[2]!SPWS(Ticker,"xsga[-3Y]")</f>
        <v>11180</v>
      </c>
      <c r="J11" s="10">
        <f>[2]!SPWS(Ticker,"xsga[-2Y]")</f>
        <v>10887</v>
      </c>
      <c r="K11" s="10">
        <f>[2]!SPWS(Ticker,"xsga[-1Y]")</f>
        <v>12785</v>
      </c>
      <c r="L11" s="10">
        <f>[2]!SPWS(Ticker,"xsga[0Y]")</f>
        <v>16020</v>
      </c>
    </row>
    <row r="12" spans="1:12" ht="12.75">
      <c r="A12" s="6" t="s">
        <v>7</v>
      </c>
      <c r="B12" s="10">
        <f>[2]!SPWS(Ticker,"oibdp[-10Y]")</f>
        <v>8630</v>
      </c>
      <c r="C12" s="10">
        <f>[2]!SPWS(Ticker,"oibdp[-9Y]")</f>
        <v>9832</v>
      </c>
      <c r="D12" s="10">
        <f>[2]!SPWS(Ticker,"oibdp[-8Y]")</f>
        <v>13152</v>
      </c>
      <c r="E12" s="10">
        <f>[2]!SPWS(Ticker,"oibdp[-7Y]")</f>
        <v>15152</v>
      </c>
      <c r="F12" s="10">
        <f>[2]!SPWS(Ticker,"oibdp[-6Y]")</f>
        <v>16698</v>
      </c>
      <c r="G12" s="10">
        <f>[2]!SPWS(Ticker,"oibdp[-5Y]")</f>
        <v>11059</v>
      </c>
      <c r="H12" s="10">
        <f>[2]!SPWS(Ticker,"oibdp[-4Y]")</f>
        <v>13643</v>
      </c>
      <c r="I12" s="10">
        <f>[2]!SPWS(Ticker,"oibdp[-3Y]")</f>
        <v>14283</v>
      </c>
      <c r="J12" s="10">
        <f>[2]!SPWS(Ticker,"oibdp[-2Y]")</f>
        <v>13691</v>
      </c>
      <c r="K12" s="10">
        <f>[2]!SPWS(Ticker,"oibdp[-1Y]")</f>
        <v>20637</v>
      </c>
      <c r="L12" s="10">
        <f>[2]!SPWS(Ticker,"oibdp[0Y]")</f>
        <v>23996</v>
      </c>
    </row>
    <row r="13" spans="1:12" ht="12.75">
      <c r="A13" s="6" t="s">
        <v>8</v>
      </c>
      <c r="B13" s="10">
        <f>[2]!SPWS(Ticker,"dp[-10Y]")</f>
        <v>6052</v>
      </c>
      <c r="C13" s="10">
        <f>[2]!SPWS(Ticker,"dp[-9Y]")</f>
        <v>5042</v>
      </c>
      <c r="D13" s="10">
        <f>[2]!SPWS(Ticker,"dp[-8Y]")</f>
        <v>4972</v>
      </c>
      <c r="E13" s="10">
        <f>[2]!SPWS(Ticker,"dp[-7Y]")</f>
        <v>4860</v>
      </c>
      <c r="F13" s="10">
        <f>[2]!SPWS(Ticker,"dp[-6Y]")</f>
        <v>4468</v>
      </c>
      <c r="G13" s="10">
        <f>[2]!SPWS(Ticker,"dp[-5Y]")</f>
        <v>4852</v>
      </c>
      <c r="H13" s="10">
        <f>[2]!SPWS(Ticker,"dp[-4Y]")</f>
        <v>4798</v>
      </c>
      <c r="I13" s="10">
        <f>[2]!SPWS(Ticker,"dp[-3Y]")</f>
        <v>4619</v>
      </c>
      <c r="J13" s="10">
        <f>[2]!SPWS(Ticker,"dp[-2Y]")</f>
        <v>5052</v>
      </c>
      <c r="K13" s="10">
        <f>[2]!SPWS(Ticker,"dp[-1Y]")</f>
        <v>4638</v>
      </c>
      <c r="L13" s="10">
        <f>[2]!SPWS(Ticker,"dp[0Y]")</f>
        <v>6064</v>
      </c>
    </row>
    <row r="14" spans="1:12" ht="12.75">
      <c r="A14" s="6" t="s">
        <v>9</v>
      </c>
      <c r="B14" s="10">
        <f>[2]!SPWS(Ticker,"OIADP[-10Y]")</f>
        <v>2578</v>
      </c>
      <c r="C14" s="10">
        <f>[2]!SPWS(Ticker,"OIADP[-9Y]")</f>
        <v>4790</v>
      </c>
      <c r="D14" s="10">
        <f>[2]!SPWS(Ticker,"OIADP[-8Y]")</f>
        <v>8180</v>
      </c>
      <c r="E14" s="10">
        <f>[2]!SPWS(Ticker,"OIADP[-7Y]")</f>
        <v>10292</v>
      </c>
      <c r="F14" s="10">
        <f>[2]!SPWS(Ticker,"OIADP[-6Y]")</f>
        <v>12230</v>
      </c>
      <c r="G14" s="10">
        <f>[2]!SPWS(Ticker,"OIADP[-5Y]")</f>
        <v>6207</v>
      </c>
      <c r="H14" s="10">
        <f>[2]!SPWS(Ticker,"OIADP[-4Y]")</f>
        <v>8845</v>
      </c>
      <c r="I14" s="10">
        <f>[2]!SPWS(Ticker,"OIADP[-3Y]")</f>
        <v>9664</v>
      </c>
      <c r="J14" s="10">
        <f>[2]!SPWS(Ticker,"OIADP[-2Y]")</f>
        <v>8639</v>
      </c>
      <c r="K14" s="10">
        <f>[2]!SPWS(Ticker,"OIADP[-1Y]")</f>
        <v>15999</v>
      </c>
      <c r="L14" s="10">
        <f>[2]!SPWS(Ticker,"OIADP[0Y]")</f>
        <v>17932</v>
      </c>
    </row>
    <row r="15" spans="1:12" ht="12.75">
      <c r="A15" s="6" t="s">
        <v>10</v>
      </c>
      <c r="B15" s="10">
        <f>[2]!SPWS(Ticker,"xint[-10Y]")</f>
        <v>61</v>
      </c>
      <c r="C15" s="10">
        <f>[2]!SPWS(Ticker,"xint[-9Y]")</f>
        <v>84</v>
      </c>
      <c r="D15" s="10">
        <f>[2]!SPWS(Ticker,"xint[-8Y]")</f>
        <v>62</v>
      </c>
      <c r="E15" s="10">
        <f>[2]!SPWS(Ticker,"xint[-7Y]")</f>
        <v>50</v>
      </c>
      <c r="F15" s="10">
        <f>[2]!SPWS(Ticker,"xint[-6Y]")</f>
        <v>19</v>
      </c>
      <c r="G15" s="10">
        <f>[2]!SPWS(Ticker,"xint[-5Y]")</f>
        <v>24</v>
      </c>
      <c r="H15" s="10">
        <f>[2]!SPWS(Ticker,"xint[-4Y]")</f>
        <v>15</v>
      </c>
      <c r="I15" s="10">
        <f>[2]!SPWS(Ticker,"xint[-3Y]")</f>
        <v>8</v>
      </c>
      <c r="J15" s="10">
        <f>[2]!SPWS(Ticker,"xint[-2Y]")</f>
        <v>87</v>
      </c>
      <c r="K15" s="10">
        <f>[2]!SPWS(Ticker,"xint[-1Y]")</f>
        <v>134</v>
      </c>
      <c r="L15" s="10">
        <f>[2]!SPWS(Ticker,"xint[0Y]")</f>
        <v>191</v>
      </c>
    </row>
    <row r="16" spans="1:12" ht="12.75">
      <c r="A16" s="6" t="s">
        <v>11</v>
      </c>
      <c r="B16" s="10">
        <f>[2]!SPWS(Ticker,"nopi[-10Y]")</f>
        <v>145</v>
      </c>
      <c r="C16" s="10">
        <f>[2]!SPWS(Ticker,"nopi[-9Y]")</f>
        <v>-94</v>
      </c>
      <c r="D16" s="10">
        <f>[2]!SPWS(Ticker,"nopi[-8Y]")</f>
        <v>-29</v>
      </c>
      <c r="E16" s="10">
        <f>[2]!SPWS(Ticker,"nopi[-7Y]")</f>
        <v>277</v>
      </c>
      <c r="F16" s="10">
        <f>[2]!SPWS(Ticker,"nopi[-6Y]")</f>
        <v>539</v>
      </c>
      <c r="G16" s="10">
        <f>[2]!SPWS(Ticker,"nopi[-5Y]")</f>
        <v>725</v>
      </c>
      <c r="H16" s="10">
        <f>[2]!SPWS(Ticker,"nopi[-4Y]")</f>
        <v>965</v>
      </c>
      <c r="I16" s="10">
        <f>[2]!SPWS(Ticker,"nopi[-3Y]")</f>
        <v>-248</v>
      </c>
      <c r="J16" s="10">
        <f>[2]!SPWS(Ticker,"nopi[-2Y]")</f>
        <v>80</v>
      </c>
      <c r="K16" s="10">
        <f>[2]!SPWS(Ticker,"nopi[-1Y]")</f>
        <v>591</v>
      </c>
      <c r="L16" s="10">
        <f>[2]!SPWS(Ticker,"nopi[0Y]")</f>
        <v>331</v>
      </c>
    </row>
    <row r="17" spans="1:12" ht="12.75">
      <c r="A17" s="6" t="s">
        <v>12</v>
      </c>
      <c r="B17" s="10">
        <f>[2]!SPWS(Ticker,"spi[-10Y]")</f>
        <v>-479</v>
      </c>
      <c r="C17" s="10">
        <f>[2]!SPWS(Ticker,"spi[-9Y]")</f>
        <v>-408</v>
      </c>
      <c r="D17" s="10">
        <f>[2]!SPWS(Ticker,"spi[-8Y]")</f>
        <v>-647</v>
      </c>
      <c r="E17" s="10">
        <f>[2]!SPWS(Ticker,"spi[-7Y]")</f>
        <v>-102</v>
      </c>
      <c r="F17" s="10">
        <f>[2]!SPWS(Ticker,"spi[-6Y]")</f>
        <v>-140</v>
      </c>
      <c r="G17" s="10">
        <f>[2]!SPWS(Ticker,"spi[-5Y]")</f>
        <v>160</v>
      </c>
      <c r="H17" s="10">
        <f>[2]!SPWS(Ticker,"spi[-4Y]")</f>
        <v>-629</v>
      </c>
      <c r="I17" s="10">
        <f>[2]!SPWS(Ticker,"spi[-3Y]")</f>
        <v>-1722</v>
      </c>
      <c r="J17" s="10">
        <f>[2]!SPWS(Ticker,"spi[-2Y]")</f>
        <v>-2928</v>
      </c>
      <c r="K17" s="10">
        <f>[2]!SPWS(Ticker,"spi[-1Y]")</f>
        <v>-411</v>
      </c>
      <c r="L17" s="10">
        <f>[2]!SPWS(Ticker,"spi[0Y]")</f>
        <v>-291</v>
      </c>
    </row>
    <row r="18" spans="1:12" ht="12.75">
      <c r="A18" s="6" t="s">
        <v>13</v>
      </c>
      <c r="B18" s="10">
        <f>[2]!SPWS(Ticker,"pi[-10Y]")</f>
        <v>2183</v>
      </c>
      <c r="C18" s="10">
        <f>[2]!SPWS(Ticker,"pi[-9Y]")</f>
        <v>4204</v>
      </c>
      <c r="D18" s="10">
        <f>[2]!SPWS(Ticker,"pi[-8Y]")</f>
        <v>7442</v>
      </c>
      <c r="E18" s="10">
        <f>[2]!SPWS(Ticker,"pi[-7Y]")</f>
        <v>10417</v>
      </c>
      <c r="F18" s="10">
        <f>[2]!SPWS(Ticker,"pi[-6Y]")</f>
        <v>12610</v>
      </c>
      <c r="G18" s="10">
        <f>[2]!SPWS(Ticker,"pi[-5Y]")</f>
        <v>7068</v>
      </c>
      <c r="H18" s="10">
        <f>[2]!SPWS(Ticker,"pi[-4Y]")</f>
        <v>9166</v>
      </c>
      <c r="I18" s="10">
        <f>[2]!SPWS(Ticker,"pi[-3Y]")</f>
        <v>7686</v>
      </c>
      <c r="J18" s="10">
        <f>[2]!SPWS(Ticker,"pi[-2Y]")</f>
        <v>5704</v>
      </c>
      <c r="K18" s="10">
        <f>[2]!SPWS(Ticker,"pi[-1Y]")</f>
        <v>16045</v>
      </c>
      <c r="L18" s="10">
        <f>[2]!SPWS(Ticker,"pi[0Y]")</f>
        <v>17781</v>
      </c>
    </row>
    <row r="19" spans="1:12" ht="12.75">
      <c r="A19" s="6" t="s">
        <v>14</v>
      </c>
      <c r="B19" s="10">
        <f>[2]!SPWS(Ticker,"txt[-10Y]")</f>
        <v>892</v>
      </c>
      <c r="C19" s="10">
        <f>[2]!SPWS(Ticker,"txt[-9Y]")</f>
        <v>1087</v>
      </c>
      <c r="D19" s="10">
        <f>[2]!SPWS(Ticker,"txt[-8Y]")</f>
        <v>1801</v>
      </c>
      <c r="E19" s="10">
        <f>[2]!SPWS(Ticker,"txt[-7Y]")</f>
        <v>2901</v>
      </c>
      <c r="F19" s="10">
        <f>[2]!SPWS(Ticker,"txt[-6Y]")</f>
        <v>3946</v>
      </c>
      <c r="G19" s="10">
        <f>[2]!SPWS(Ticker,"txt[-5Y]")</f>
        <v>2024</v>
      </c>
      <c r="H19" s="10">
        <f>[2]!SPWS(Ticker,"txt[-4Y]")</f>
        <v>2190</v>
      </c>
      <c r="I19" s="10">
        <f>[2]!SPWS(Ticker,"txt[-3Y]")</f>
        <v>2394</v>
      </c>
      <c r="J19" s="10">
        <f>[2]!SPWS(Ticker,"txt[-2Y]")</f>
        <v>1335</v>
      </c>
      <c r="K19" s="10">
        <f>[2]!SPWS(Ticker,"txt[-1Y]")</f>
        <v>4581</v>
      </c>
      <c r="L19" s="10">
        <f>[2]!SPWS(Ticker,"txt[0Y]")</f>
        <v>4839</v>
      </c>
    </row>
    <row r="20" spans="1:12" ht="12.75">
      <c r="A20" s="6" t="s">
        <v>15</v>
      </c>
      <c r="B20" s="10">
        <f>[2]!SPWS(Ticker,"IB[-10Y]")</f>
        <v>1291</v>
      </c>
      <c r="C20" s="10">
        <f>[2]!SPWS(Ticker,"IB[-9Y]")</f>
        <v>3117</v>
      </c>
      <c r="D20" s="10">
        <f>[2]!SPWS(Ticker,"IB[-8Y]")</f>
        <v>5641</v>
      </c>
      <c r="E20" s="10">
        <f>[2]!SPWS(Ticker,"IB[-7Y]")</f>
        <v>7516</v>
      </c>
      <c r="F20" s="10">
        <f>[2]!SPWS(Ticker,"IB[-6Y]")</f>
        <v>8664</v>
      </c>
      <c r="G20" s="10">
        <f>[2]!SPWS(Ticker,"IB[-5Y]")</f>
        <v>5044</v>
      </c>
      <c r="H20" s="10">
        <f>[2]!SPWS(Ticker,"IB[-4Y]")</f>
        <v>6976</v>
      </c>
      <c r="I20" s="10">
        <f>[2]!SPWS(Ticker,"IB[-3Y]")</f>
        <v>5292</v>
      </c>
      <c r="J20" s="10">
        <f>[2]!SPWS(Ticker,"IB[-2Y]")</f>
        <v>4369</v>
      </c>
      <c r="K20" s="10">
        <f>[2]!SPWS(Ticker,"IB[-1Y]")</f>
        <v>11464</v>
      </c>
      <c r="L20" s="10">
        <f>[2]!SPWS(Ticker,"IB[0Y]")</f>
        <v>12942</v>
      </c>
    </row>
    <row r="21" spans="1:12" ht="12.75">
      <c r="A21" s="6" t="s">
        <v>16</v>
      </c>
      <c r="B21" s="10">
        <f>[2]!SPWS(Ticker,"dvp[-10Y]")</f>
        <v>0</v>
      </c>
      <c r="C21" s="10">
        <f>[2]!SPWS(Ticker,"dvp[-9Y]")</f>
        <v>0</v>
      </c>
      <c r="D21" s="10">
        <f>[2]!SPWS(Ticker,"dvp[-8Y]")</f>
        <v>0</v>
      </c>
      <c r="E21" s="10">
        <f>[2]!SPWS(Ticker,"dvp[-7Y]")</f>
        <v>0</v>
      </c>
      <c r="F21" s="10">
        <f>[2]!SPWS(Ticker,"dvp[-6Y]")</f>
        <v>0</v>
      </c>
      <c r="G21" s="10">
        <f>[2]!SPWS(Ticker,"dvp[-5Y]")</f>
        <v>0</v>
      </c>
      <c r="H21" s="10">
        <f>[2]!SPWS(Ticker,"dvp[-4Y]")</f>
        <v>0</v>
      </c>
      <c r="I21" s="10">
        <f>[2]!SPWS(Ticker,"dvp[-3Y]")</f>
        <v>0</v>
      </c>
      <c r="J21" s="10">
        <f>[2]!SPWS(Ticker,"dvp[-2Y]")</f>
        <v>0</v>
      </c>
      <c r="K21" s="10">
        <f>[2]!SPWS(Ticker,"dvp[-1Y]")</f>
        <v>0</v>
      </c>
      <c r="L21" s="10">
        <f>[2]!SPWS(Ticker,"dvp[0Y]")</f>
        <v>0</v>
      </c>
    </row>
    <row r="22" spans="1:12" ht="12.75">
      <c r="A22" s="6" t="s">
        <v>17</v>
      </c>
      <c r="B22" s="10">
        <f>[2]!SPWS(Ticker,"do[-10Y]")</f>
        <v>0</v>
      </c>
      <c r="C22" s="10">
        <f>[2]!SPWS(Ticker,"do[-9Y]")</f>
        <v>0</v>
      </c>
      <c r="D22" s="10">
        <f>[2]!SPWS(Ticker,"do[-8Y]")</f>
        <v>0</v>
      </c>
      <c r="E22" s="10">
        <f>[2]!SPWS(Ticker,"do[-7Y]")</f>
        <v>0</v>
      </c>
      <c r="F22" s="10">
        <f>[2]!SPWS(Ticker,"do[-6Y]")</f>
        <v>0</v>
      </c>
      <c r="G22" s="10">
        <f>[2]!SPWS(Ticker,"do[-5Y]")</f>
        <v>0</v>
      </c>
      <c r="H22" s="10">
        <f>[2]!SPWS(Ticker,"do[-4Y]")</f>
        <v>0</v>
      </c>
      <c r="I22" s="10">
        <f>[2]!SPWS(Ticker,"do[-3Y]")</f>
        <v>0</v>
      </c>
      <c r="J22" s="10">
        <f>[2]!SPWS(Ticker,"do[-2Y]")</f>
        <v>0</v>
      </c>
      <c r="K22" s="10">
        <f>[2]!SPWS(Ticker,"do[-1Y]")</f>
        <v>0</v>
      </c>
      <c r="L22" s="10">
        <f>[2]!SPWS(Ticker,"do[0Y]")</f>
        <v>0</v>
      </c>
    </row>
    <row r="23" spans="1:12" ht="12.75">
      <c r="A23" s="6" t="s">
        <v>18</v>
      </c>
      <c r="B23" s="10">
        <f>[2]!SPWS(Ticker,"xi[-10Y]")</f>
        <v>0</v>
      </c>
      <c r="C23" s="10">
        <f>[2]!SPWS(Ticker,"xi[-9Y]")</f>
        <v>0</v>
      </c>
      <c r="D23" s="10">
        <f>[2]!SPWS(Ticker,"xi[-8Y]")</f>
        <v>0</v>
      </c>
      <c r="E23" s="10">
        <f>[2]!SPWS(Ticker,"xi[-7Y]")</f>
        <v>0</v>
      </c>
      <c r="F23" s="10">
        <f>[2]!SPWS(Ticker,"xi[-6Y]")</f>
        <v>0</v>
      </c>
      <c r="G23" s="10">
        <f>[2]!SPWS(Ticker,"xi[-5Y]")</f>
        <v>0</v>
      </c>
      <c r="H23" s="10">
        <f>[2]!SPWS(Ticker,"xi[-4Y]")</f>
        <v>0</v>
      </c>
      <c r="I23" s="10">
        <f>[2]!SPWS(Ticker,"xi[-3Y]")</f>
        <v>0</v>
      </c>
      <c r="J23" s="10">
        <f>[2]!SPWS(Ticker,"xi[-2Y]")</f>
        <v>0</v>
      </c>
      <c r="K23" s="10">
        <f>[2]!SPWS(Ticker,"xi[-1Y]")</f>
        <v>0</v>
      </c>
      <c r="L23" s="10">
        <f>[2]!SPWS(Ticker,"xi[0Y]")</f>
        <v>0</v>
      </c>
    </row>
    <row r="24" spans="1:12" s="2" customFormat="1" ht="12.75">
      <c r="A24" s="8" t="s">
        <v>19</v>
      </c>
      <c r="B24" s="9">
        <f>[2]!SPWS(Ticker,"NI[-10Y]")</f>
        <v>1291</v>
      </c>
      <c r="C24" s="9">
        <f>[2]!SPWS(Ticker,"NI[-9Y]")</f>
        <v>3117</v>
      </c>
      <c r="D24" s="9">
        <f>[2]!SPWS(Ticker,"NI[-8Y]")</f>
        <v>5641</v>
      </c>
      <c r="E24" s="9">
        <f>[2]!SPWS(Ticker,"NI[-7Y]")</f>
        <v>7516</v>
      </c>
      <c r="F24" s="9">
        <f>[2]!SPWS(Ticker,"NI[-6Y]")</f>
        <v>8664</v>
      </c>
      <c r="G24" s="9">
        <f>[2]!SPWS(Ticker,"NI[-5Y]")</f>
        <v>5044</v>
      </c>
      <c r="H24" s="9">
        <f>[2]!SPWS(Ticker,"NI[-4Y]")</f>
        <v>6976</v>
      </c>
      <c r="I24" s="9">
        <f>[2]!SPWS(Ticker,"NI[-3Y]")</f>
        <v>5292</v>
      </c>
      <c r="J24" s="9">
        <f>[2]!SPWS(Ticker,"NI[-2Y]")</f>
        <v>4369</v>
      </c>
      <c r="K24" s="9">
        <f>[2]!SPWS(Ticker,"NI[-1Y]")</f>
        <v>11464</v>
      </c>
      <c r="L24" s="9">
        <f>[2]!SPWS(Ticker,"NI[0Y]")</f>
        <v>12942</v>
      </c>
    </row>
    <row r="25" s="2" customFormat="1" ht="12.75"/>
    <row r="26" spans="1:12" s="3" customFormat="1" ht="12.75">
      <c r="A26" s="4" t="s">
        <v>47</v>
      </c>
      <c r="B26" s="7" t="str">
        <f>[2]!SPWS(Ticker,"@MNT(-10Y)")</f>
        <v>Dec01</v>
      </c>
      <c r="C26" s="7" t="str">
        <f>[2]!SPWS(Ticker,"@MNT(-9Y)")</f>
        <v>Dec02</v>
      </c>
      <c r="D26" s="7" t="str">
        <f>[2]!SPWS(Ticker,"@MNT(-8Y)")</f>
        <v>Dec03</v>
      </c>
      <c r="E26" s="7" t="str">
        <f>[2]!SPWS(Ticker,"@MNT(-7Y)")</f>
        <v>Dec04</v>
      </c>
      <c r="F26" s="7" t="str">
        <f>[2]!SPWS(Ticker,"@MNT(-6Y)")</f>
        <v>Dec05</v>
      </c>
      <c r="G26" s="7" t="str">
        <f>[2]!SPWS(Ticker,"@MNT(-5Y)")</f>
        <v>Dec06</v>
      </c>
      <c r="H26" s="7" t="str">
        <f>[2]!SPWS(Ticker,"@MNT(-4Y)")</f>
        <v>Dec07</v>
      </c>
      <c r="I26" s="7" t="str">
        <f>[2]!SPWS(Ticker,"@MNT(-3Y)")</f>
        <v>Dec08</v>
      </c>
      <c r="J26" s="7" t="str">
        <f>[2]!SPWS(Ticker,"@MNT(-2Y)")</f>
        <v>Dec09</v>
      </c>
      <c r="K26" s="7" t="str">
        <f>[2]!SPWS(Ticker,"@MNT(-1Y)")</f>
        <v>Dec10</v>
      </c>
      <c r="L26" s="7" t="str">
        <f>[2]!SPWS(Ticker,"@MNT(0Y)")</f>
        <v>Dec11</v>
      </c>
    </row>
    <row r="27" spans="1:12" ht="12.75">
      <c r="A27" s="6" t="s">
        <v>20</v>
      </c>
      <c r="B27" s="10">
        <f>[2]!SPWS(Ticker,"che[-10Y]")</f>
        <v>11550</v>
      </c>
      <c r="C27" s="10">
        <f>[2]!SPWS(Ticker,"che[-9Y]")</f>
        <v>12587</v>
      </c>
      <c r="D27" s="10">
        <f>[2]!SPWS(Ticker,"che[-8Y]")</f>
        <v>16164</v>
      </c>
      <c r="E27" s="10">
        <f>[2]!SPWS(Ticker,"che[-7Y]")</f>
        <v>17172</v>
      </c>
      <c r="F27" s="10">
        <f>[2]!SPWS(Ticker,"che[-6Y]")</f>
        <v>12772</v>
      </c>
      <c r="G27" s="10">
        <f>[2]!SPWS(Ticker,"che[-5Y]")</f>
        <v>10002</v>
      </c>
      <c r="H27" s="10">
        <f>[2]!SPWS(Ticker,"che[-4Y]")</f>
        <v>15363</v>
      </c>
      <c r="I27" s="10">
        <f>[2]!SPWS(Ticker,"che[-3Y]")</f>
        <v>11843</v>
      </c>
      <c r="J27" s="10">
        <f>[2]!SPWS(Ticker,"che[-2Y]")</f>
        <v>13920</v>
      </c>
      <c r="K27" s="10">
        <f>[2]!SPWS(Ticker,"che[-1Y]")</f>
        <v>21885</v>
      </c>
      <c r="L27" s="10">
        <f>[2]!SPWS(Ticker,"che[0Y]")</f>
        <v>14837</v>
      </c>
    </row>
    <row r="28" spans="1:12" ht="12.75">
      <c r="A28" s="6" t="s">
        <v>21</v>
      </c>
      <c r="B28" s="10">
        <f>[2]!SPWS(Ticker,"rect[-10Y]")</f>
        <v>2607</v>
      </c>
      <c r="C28" s="10">
        <f>[2]!SPWS(Ticker,"rect[-9Y]")</f>
        <v>2574</v>
      </c>
      <c r="D28" s="10">
        <f>[2]!SPWS(Ticker,"rect[-8Y]")</f>
        <v>2960</v>
      </c>
      <c r="E28" s="10">
        <f>[2]!SPWS(Ticker,"rect[-7Y]")</f>
        <v>2999</v>
      </c>
      <c r="F28" s="10">
        <f>[2]!SPWS(Ticker,"rect[-6Y]")</f>
        <v>3914</v>
      </c>
      <c r="G28" s="10">
        <f>[2]!SPWS(Ticker,"rect[-5Y]")</f>
        <v>2709</v>
      </c>
      <c r="H28" s="10">
        <f>[2]!SPWS(Ticker,"rect[-4Y]")</f>
        <v>2576</v>
      </c>
      <c r="I28" s="10">
        <f>[2]!SPWS(Ticker,"rect[-3Y]")</f>
        <v>1712</v>
      </c>
      <c r="J28" s="10">
        <f>[2]!SPWS(Ticker,"rect[-2Y]")</f>
        <v>2273</v>
      </c>
      <c r="K28" s="10">
        <f>[2]!SPWS(Ticker,"rect[-1Y]")</f>
        <v>2867</v>
      </c>
      <c r="L28" s="10">
        <f>[2]!SPWS(Ticker,"rect[0Y]")</f>
        <v>3650</v>
      </c>
    </row>
    <row r="29" spans="1:12" ht="12.75">
      <c r="A29" s="6" t="s">
        <v>22</v>
      </c>
      <c r="B29" s="10">
        <f>[2]!SPWS(Ticker,"recdr[-10Y]")</f>
        <v>2.542056074766355</v>
      </c>
      <c r="C29" s="10">
        <f>[2]!SPWS(Ticker,"recdr[-9Y]")</f>
        <v>2.1664766248574687</v>
      </c>
      <c r="D29" s="10">
        <f>[2]!SPWS(Ticker,"recdr[-8Y]")</f>
        <v>1.8242122719734661</v>
      </c>
      <c r="E29" s="10">
        <f>[2]!SPWS(Ticker,"recdr[-7Y]")</f>
        <v>1.413543721236029</v>
      </c>
      <c r="F29" s="10">
        <f>[2]!SPWS(Ticker,"recdr[-6Y]")</f>
        <v>1.608848667672197</v>
      </c>
      <c r="G29" s="10">
        <f>[2]!SPWS(Ticker,"recdr[-5Y]")</f>
        <v>1.1674571324334184</v>
      </c>
      <c r="H29" s="10">
        <f>[2]!SPWS(Ticker,"recdr[-4Y]")</f>
        <v>1.0372646945831734</v>
      </c>
      <c r="I29" s="10">
        <f>[2]!SPWS(Ticker,"recdr[-3Y]")</f>
        <v>0.9832272990167726</v>
      </c>
      <c r="J29" s="10">
        <f>[2]!SPWS(Ticker,"recdr[-2Y]")</f>
        <v>0.8289703315881327</v>
      </c>
      <c r="K29" s="10">
        <f>[2]!SPWS(Ticker,"recdr[-1Y]")</f>
        <v>0.9671848013816925</v>
      </c>
      <c r="L29" s="10">
        <f>[2]!SPWS(Ticker,"recdr[0Y]")</f>
        <v>0.9766684753119913</v>
      </c>
    </row>
    <row r="30" spans="1:12" ht="12.75">
      <c r="A30" s="6" t="s">
        <v>23</v>
      </c>
      <c r="B30" s="10">
        <f>[2]!SPWS(Ticker,"invt[-10Y]")</f>
        <v>2253</v>
      </c>
      <c r="C30" s="10">
        <f>[2]!SPWS(Ticker,"invt[-9Y]")</f>
        <v>2276</v>
      </c>
      <c r="D30" s="10">
        <f>[2]!SPWS(Ticker,"invt[-8Y]")</f>
        <v>2519</v>
      </c>
      <c r="E30" s="10">
        <f>[2]!SPWS(Ticker,"invt[-7Y]")</f>
        <v>2621</v>
      </c>
      <c r="F30" s="10">
        <f>[2]!SPWS(Ticker,"invt[-6Y]")</f>
        <v>3126</v>
      </c>
      <c r="G30" s="10">
        <f>[2]!SPWS(Ticker,"invt[-5Y]")</f>
        <v>4314</v>
      </c>
      <c r="H30" s="10">
        <f>[2]!SPWS(Ticker,"invt[-4Y]")</f>
        <v>3370</v>
      </c>
      <c r="I30" s="10">
        <f>[2]!SPWS(Ticker,"invt[-3Y]")</f>
        <v>3744</v>
      </c>
      <c r="J30" s="10">
        <f>[2]!SPWS(Ticker,"invt[-2Y]")</f>
        <v>2935</v>
      </c>
      <c r="K30" s="10">
        <f>[2]!SPWS(Ticker,"invt[-1Y]")</f>
        <v>3757</v>
      </c>
      <c r="L30" s="10">
        <f>[2]!SPWS(Ticker,"invt[0Y]")</f>
        <v>4096</v>
      </c>
    </row>
    <row r="31" spans="1:12" ht="12.75">
      <c r="A31" s="6" t="s">
        <v>24</v>
      </c>
      <c r="B31" s="10">
        <f>[2]!SPWS(Ticker,"act[-10Y]")</f>
        <v>17633</v>
      </c>
      <c r="C31" s="10">
        <f>[2]!SPWS(Ticker,"act[-9Y]")</f>
        <v>18925</v>
      </c>
      <c r="D31" s="10">
        <f>[2]!SPWS(Ticker,"act[-8Y]")</f>
        <v>22882</v>
      </c>
      <c r="E31" s="10">
        <f>[2]!SPWS(Ticker,"act[-7Y]")</f>
        <v>24058</v>
      </c>
      <c r="F31" s="10">
        <f>[2]!SPWS(Ticker,"act[-6Y]")</f>
        <v>21194</v>
      </c>
      <c r="G31" s="10">
        <f>[2]!SPWS(Ticker,"act[-5Y]")</f>
        <v>18280</v>
      </c>
      <c r="H31" s="10">
        <f>[2]!SPWS(Ticker,"act[-4Y]")</f>
        <v>23885</v>
      </c>
      <c r="I31" s="10">
        <f>[2]!SPWS(Ticker,"act[-3Y]")</f>
        <v>19871</v>
      </c>
      <c r="J31" s="10">
        <f>[2]!SPWS(Ticker,"act[-2Y]")</f>
        <v>21157</v>
      </c>
      <c r="K31" s="10">
        <f>[2]!SPWS(Ticker,"act[-1Y]")</f>
        <v>31611</v>
      </c>
      <c r="L31" s="10">
        <f>[2]!SPWS(Ticker,"act[0Y]")</f>
        <v>25872</v>
      </c>
    </row>
    <row r="32" spans="1:12" ht="12.75">
      <c r="A32" s="6" t="s">
        <v>25</v>
      </c>
      <c r="B32" s="10">
        <f>[2]!SPWS(Ticker,"ppent[-10Y]")</f>
        <v>18121</v>
      </c>
      <c r="C32" s="10">
        <f>[2]!SPWS(Ticker,"ppent[-9Y]")</f>
        <v>17847</v>
      </c>
      <c r="D32" s="10">
        <f>[2]!SPWS(Ticker,"ppent[-8Y]")</f>
        <v>16661</v>
      </c>
      <c r="E32" s="10">
        <f>[2]!SPWS(Ticker,"ppent[-7Y]")</f>
        <v>15768</v>
      </c>
      <c r="F32" s="10">
        <f>[2]!SPWS(Ticker,"ppent[-6Y]")</f>
        <v>17111</v>
      </c>
      <c r="G32" s="10">
        <f>[2]!SPWS(Ticker,"ppent[-5Y]")</f>
        <v>17602</v>
      </c>
      <c r="H32" s="10">
        <f>[2]!SPWS(Ticker,"ppent[-4Y]")</f>
        <v>16918</v>
      </c>
      <c r="I32" s="10">
        <f>[2]!SPWS(Ticker,"ppent[-3Y]")</f>
        <v>17544</v>
      </c>
      <c r="J32" s="10">
        <f>[2]!SPWS(Ticker,"ppent[-2Y]")</f>
        <v>17225</v>
      </c>
      <c r="K32" s="10">
        <f>[2]!SPWS(Ticker,"ppent[-1Y]")</f>
        <v>17899</v>
      </c>
      <c r="L32" s="10">
        <f>[2]!SPWS(Ticker,"ppent[0Y]")</f>
        <v>23627</v>
      </c>
    </row>
    <row r="33" spans="1:12" ht="12.75">
      <c r="A33" s="6" t="s">
        <v>26</v>
      </c>
      <c r="B33" s="10">
        <f>[2]!SPWS(Ticker,"intan[-10Y]")</f>
        <v>5127</v>
      </c>
      <c r="C33" s="10">
        <f>[2]!SPWS(Ticker,"intan[-9Y]")</f>
        <v>5164</v>
      </c>
      <c r="D33" s="10">
        <f>[2]!SPWS(Ticker,"intan[-8Y]")</f>
        <v>4364</v>
      </c>
      <c r="E33" s="10">
        <f>[2]!SPWS(Ticker,"intan[-7Y]")</f>
        <v>4396</v>
      </c>
      <c r="F33" s="10">
        <f>[2]!SPWS(Ticker,"intan[-6Y]")</f>
        <v>4527</v>
      </c>
      <c r="G33" s="10">
        <f>[2]!SPWS(Ticker,"intan[-5Y]")</f>
        <v>4848</v>
      </c>
      <c r="H33" s="10">
        <f>[2]!SPWS(Ticker,"intan[-4Y]")</f>
        <v>4876</v>
      </c>
      <c r="I33" s="10">
        <f>[2]!SPWS(Ticker,"intan[-3Y]")</f>
        <v>4707</v>
      </c>
      <c r="J33" s="10">
        <f>[2]!SPWS(Ticker,"intan[-2Y]")</f>
        <v>5304</v>
      </c>
      <c r="K33" s="10">
        <f>[2]!SPWS(Ticker,"intan[-1Y]")</f>
        <v>5391</v>
      </c>
      <c r="L33" s="10">
        <f>[2]!SPWS(Ticker,"intan[0Y]")</f>
        <v>15521</v>
      </c>
    </row>
    <row r="34" spans="1:12" ht="12.75">
      <c r="A34" s="6" t="s">
        <v>27</v>
      </c>
      <c r="B34" s="10">
        <f>[2]!SPWS(Ticker,"dc[-10Y]")</f>
        <v>0</v>
      </c>
      <c r="C34" s="10">
        <f>[2]!SPWS(Ticker,"dc[-9Y]")</f>
        <v>0</v>
      </c>
      <c r="D34" s="10">
        <f>[2]!SPWS(Ticker,"dc[-8Y]")</f>
        <v>0</v>
      </c>
      <c r="E34" s="10">
        <f>[2]!SPWS(Ticker,"dc[-7Y]")</f>
        <v>0</v>
      </c>
      <c r="F34" s="10">
        <f>[2]!SPWS(Ticker,"dc[-6Y]")</f>
        <v>0</v>
      </c>
      <c r="G34" s="10">
        <f>[2]!SPWS(Ticker,"dc[-5Y]")</f>
        <v>0</v>
      </c>
      <c r="H34" s="10">
        <f>[2]!SPWS(Ticker,"dc[-4Y]")</f>
        <v>0</v>
      </c>
      <c r="I34" s="10">
        <f>[2]!SPWS(Ticker,"dc[-3Y]")</f>
        <v>0</v>
      </c>
      <c r="J34" s="10">
        <f>[2]!SPWS(Ticker,"dc[-2Y]")</f>
        <v>0</v>
      </c>
      <c r="K34" s="10">
        <f>[2]!SPWS(Ticker,"dc[-1Y]")</f>
        <v>0</v>
      </c>
      <c r="L34" s="10">
        <f>[2]!SPWS(Ticker,"dc[0Y]")</f>
        <v>0</v>
      </c>
    </row>
    <row r="35" spans="1:12" ht="12.75">
      <c r="A35" s="6" t="s">
        <v>28</v>
      </c>
      <c r="B35" s="10">
        <f>[2]!SPWS(Ticker,"ivaeq[-10Y]")</f>
        <v>0</v>
      </c>
      <c r="C35" s="10" t="str">
        <f>[2]!SPWS(Ticker,"ivaeq[-9Y]")</f>
        <v>@CF</v>
      </c>
      <c r="D35" s="10" t="str">
        <f>[2]!SPWS(Ticker,"ivaeq[-8Y]")</f>
        <v>@CF</v>
      </c>
      <c r="E35" s="10" t="str">
        <f>[2]!SPWS(Ticker,"ivaeq[-7Y]")</f>
        <v>@NA</v>
      </c>
      <c r="F35" s="10">
        <f>[2]!SPWS(Ticker,"ivaeq[-6Y]")</f>
        <v>59</v>
      </c>
      <c r="G35" s="10">
        <f>[2]!SPWS(Ticker,"ivaeq[-5Y]")</f>
        <v>2000</v>
      </c>
      <c r="H35" s="10">
        <f>[2]!SPWS(Ticker,"ivaeq[-4Y]")</f>
        <v>3105</v>
      </c>
      <c r="I35" s="10">
        <f>[2]!SPWS(Ticker,"ivaeq[-3Y]")</f>
        <v>3032</v>
      </c>
      <c r="J35" s="10">
        <f>[2]!SPWS(Ticker,"ivaeq[-2Y]")</f>
        <v>2472</v>
      </c>
      <c r="K35" s="10">
        <f>[2]!SPWS(Ticker,"ivaeq[-1Y]")</f>
        <v>1791</v>
      </c>
      <c r="L35" s="10">
        <f>[2]!SPWS(Ticker,"ivaeq[0Y]")</f>
        <v>1669</v>
      </c>
    </row>
    <row r="36" spans="1:12" ht="12.75">
      <c r="A36" s="6" t="s">
        <v>29</v>
      </c>
      <c r="B36" s="10">
        <f>[2]!SPWS(Ticker,"ivao[-10Y]")</f>
        <v>1474</v>
      </c>
      <c r="C36" s="10">
        <f>[2]!SPWS(Ticker,"ivao[-9Y]")</f>
        <v>2056</v>
      </c>
      <c r="D36" s="10">
        <f>[2]!SPWS(Ticker,"ivao[-8Y]")</f>
        <v>3077</v>
      </c>
      <c r="E36" s="10">
        <f>[2]!SPWS(Ticker,"ivao[-7Y]")</f>
        <v>3726</v>
      </c>
      <c r="F36" s="10">
        <f>[2]!SPWS(Ticker,"ivao[-6Y]")</f>
        <v>5174</v>
      </c>
      <c r="G36" s="10">
        <f>[2]!SPWS(Ticker,"ivao[-5Y]")</f>
        <v>5154</v>
      </c>
      <c r="H36" s="10">
        <f>[2]!SPWS(Ticker,"ivao[-4Y]")</f>
        <v>6190</v>
      </c>
      <c r="I36" s="10">
        <f>[2]!SPWS(Ticker,"ivao[-3Y]")</f>
        <v>4276</v>
      </c>
      <c r="J36" s="10">
        <f>[2]!SPWS(Ticker,"ivao[-2Y]")</f>
        <v>6140</v>
      </c>
      <c r="K36" s="10">
        <f>[2]!SPWS(Ticker,"ivao[-1Y]")</f>
        <v>5647</v>
      </c>
      <c r="L36" s="10">
        <f>[2]!SPWS(Ticker,"ivao[0Y]")</f>
        <v>3295</v>
      </c>
    </row>
    <row r="37" spans="1:12" s="2" customFormat="1" ht="12.75">
      <c r="A37" s="8" t="s">
        <v>30</v>
      </c>
      <c r="B37" s="9">
        <f>[2]!SPWS(Ticker,"at[-10Y]")</f>
        <v>44395</v>
      </c>
      <c r="C37" s="9">
        <f>[2]!SPWS(Ticker,"at[-9Y]")</f>
        <v>44224</v>
      </c>
      <c r="D37" s="9">
        <f>[2]!SPWS(Ticker,"at[-8Y]")</f>
        <v>47143</v>
      </c>
      <c r="E37" s="9">
        <f>[2]!SPWS(Ticker,"at[-7Y]")</f>
        <v>48143</v>
      </c>
      <c r="F37" s="9">
        <f>[2]!SPWS(Ticker,"at[-6Y]")</f>
        <v>48314</v>
      </c>
      <c r="G37" s="9">
        <f>[2]!SPWS(Ticker,"at[-5Y]")</f>
        <v>48368</v>
      </c>
      <c r="H37" s="9">
        <f>[2]!SPWS(Ticker,"at[-4Y]")</f>
        <v>55651</v>
      </c>
      <c r="I37" s="9">
        <f>[2]!SPWS(Ticker,"at[-3Y]")</f>
        <v>50715</v>
      </c>
      <c r="J37" s="9">
        <f>[2]!SPWS(Ticker,"at[-2Y]")</f>
        <v>53095</v>
      </c>
      <c r="K37" s="9">
        <f>[2]!SPWS(Ticker,"at[-1Y]")</f>
        <v>63186</v>
      </c>
      <c r="L37" s="9">
        <f>[2]!SPWS(Ticker,"at[0Y]")</f>
        <v>71119</v>
      </c>
    </row>
    <row r="38" spans="1:12" ht="12.75">
      <c r="A38" s="6" t="s">
        <v>31</v>
      </c>
      <c r="B38" s="10">
        <f>[2]!SPWS(Ticker,"dd1[-10Y]")</f>
        <v>14</v>
      </c>
      <c r="C38" s="10">
        <f>[2]!SPWS(Ticker,"dd1[-9Y]")</f>
        <v>141</v>
      </c>
      <c r="D38" s="10">
        <f>[2]!SPWS(Ticker,"dd1[-8Y]")</f>
        <v>81</v>
      </c>
      <c r="E38" s="10">
        <f>[2]!SPWS(Ticker,"dd1[-7Y]")</f>
        <v>33</v>
      </c>
      <c r="F38" s="10">
        <f>[2]!SPWS(Ticker,"dd1[-6Y]")</f>
        <v>18</v>
      </c>
      <c r="G38" s="10">
        <f>[2]!SPWS(Ticker,"dd1[-5Y]")</f>
        <v>2</v>
      </c>
      <c r="H38" s="10">
        <f>[2]!SPWS(Ticker,"dd1[-4Y]")</f>
        <v>2</v>
      </c>
      <c r="I38" s="10">
        <f>[2]!SPWS(Ticker,"dd1[-3Y]")</f>
        <v>2</v>
      </c>
      <c r="J38" s="10">
        <f>[2]!SPWS(Ticker,"dd1[-2Y]")</f>
        <v>157</v>
      </c>
      <c r="K38" s="10">
        <f>[2]!SPWS(Ticker,"dd1[-1Y]")</f>
        <v>0</v>
      </c>
      <c r="L38" s="10">
        <f>[2]!SPWS(Ticker,"dd1[0Y]")</f>
        <v>0</v>
      </c>
    </row>
    <row r="39" spans="1:12" ht="12.75">
      <c r="A39" s="6" t="s">
        <v>32</v>
      </c>
      <c r="B39" s="10">
        <f>[2]!SPWS(Ticker,"np[-10Y]")</f>
        <v>395</v>
      </c>
      <c r="C39" s="10">
        <f>[2]!SPWS(Ticker,"np[-9Y]")</f>
        <v>295</v>
      </c>
      <c r="D39" s="10">
        <f>[2]!SPWS(Ticker,"np[-8Y]")</f>
        <v>143</v>
      </c>
      <c r="E39" s="10">
        <f>[2]!SPWS(Ticker,"np[-7Y]")</f>
        <v>168</v>
      </c>
      <c r="F39" s="10">
        <f>[2]!SPWS(Ticker,"np[-6Y]")</f>
        <v>295</v>
      </c>
      <c r="G39" s="10">
        <f>[2]!SPWS(Ticker,"np[-5Y]")</f>
        <v>178</v>
      </c>
      <c r="H39" s="10">
        <f>[2]!SPWS(Ticker,"np[-4Y]")</f>
        <v>140</v>
      </c>
      <c r="I39" s="10">
        <f>[2]!SPWS(Ticker,"np[-3Y]")</f>
        <v>100</v>
      </c>
      <c r="J39" s="10">
        <f>[2]!SPWS(Ticker,"np[-2Y]")</f>
        <v>15</v>
      </c>
      <c r="K39" s="10">
        <f>[2]!SPWS(Ticker,"np[-1Y]")</f>
        <v>38</v>
      </c>
      <c r="L39" s="10">
        <f>[2]!SPWS(Ticker,"np[0Y]")</f>
        <v>247</v>
      </c>
    </row>
    <row r="40" spans="1:12" ht="12.75">
      <c r="A40" s="6" t="s">
        <v>33</v>
      </c>
      <c r="B40" s="10">
        <f>[2]!SPWS(Ticker,"ap[-10Y]")</f>
        <v>1769</v>
      </c>
      <c r="C40" s="10">
        <f>[2]!SPWS(Ticker,"ap[-9Y]")</f>
        <v>1543</v>
      </c>
      <c r="D40" s="10">
        <f>[2]!SPWS(Ticker,"ap[-8Y]")</f>
        <v>1660</v>
      </c>
      <c r="E40" s="10">
        <f>[2]!SPWS(Ticker,"ap[-7Y]")</f>
        <v>1943</v>
      </c>
      <c r="F40" s="10">
        <f>[2]!SPWS(Ticker,"ap[-6Y]")</f>
        <v>2249</v>
      </c>
      <c r="G40" s="10">
        <f>[2]!SPWS(Ticker,"ap[-5Y]")</f>
        <v>2256</v>
      </c>
      <c r="H40" s="10">
        <f>[2]!SPWS(Ticker,"ap[-4Y]")</f>
        <v>2361</v>
      </c>
      <c r="I40" s="10">
        <f>[2]!SPWS(Ticker,"ap[-3Y]")</f>
        <v>2390</v>
      </c>
      <c r="J40" s="10">
        <f>[2]!SPWS(Ticker,"ap[-2Y]")</f>
        <v>1883</v>
      </c>
      <c r="K40" s="10">
        <f>[2]!SPWS(Ticker,"ap[-1Y]")</f>
        <v>2290</v>
      </c>
      <c r="L40" s="10">
        <f>[2]!SPWS(Ticker,"ap[0Y]")</f>
        <v>2956</v>
      </c>
    </row>
    <row r="41" spans="1:12" ht="12.75">
      <c r="A41" s="6" t="s">
        <v>34</v>
      </c>
      <c r="B41" s="10">
        <f>[2]!SPWS(Ticker,"txp[-10Y]")</f>
        <v>988</v>
      </c>
      <c r="C41" s="10">
        <f>[2]!SPWS(Ticker,"txp[-9Y]")</f>
        <v>1157</v>
      </c>
      <c r="D41" s="10">
        <f>[2]!SPWS(Ticker,"txp[-8Y]")</f>
        <v>785</v>
      </c>
      <c r="E41" s="10">
        <f>[2]!SPWS(Ticker,"txp[-7Y]")</f>
        <v>1163</v>
      </c>
      <c r="F41" s="10">
        <f>[2]!SPWS(Ticker,"txp[-6Y]")</f>
        <v>1960</v>
      </c>
      <c r="G41" s="10">
        <f>[2]!SPWS(Ticker,"txp[-5Y]")</f>
        <v>1797</v>
      </c>
      <c r="H41" s="10">
        <f>[2]!SPWS(Ticker,"txp[-4Y]")</f>
        <v>339</v>
      </c>
      <c r="I41" s="10">
        <f>[2]!SPWS(Ticker,"txp[-3Y]")</f>
        <v>140</v>
      </c>
      <c r="J41" s="10">
        <f>[2]!SPWS(Ticker,"txp[-2Y]")</f>
        <v>86</v>
      </c>
      <c r="K41" s="10">
        <f>[2]!SPWS(Ticker,"txp[-1Y]")</f>
        <v>0</v>
      </c>
      <c r="L41" s="10">
        <f>[2]!SPWS(Ticker,"txp[0Y]")</f>
        <v>0</v>
      </c>
    </row>
    <row r="42" spans="1:12" ht="12.75">
      <c r="A42" s="6" t="s">
        <v>35</v>
      </c>
      <c r="B42" s="10">
        <f>[2]!SPWS(Ticker,"lct[-10Y]")</f>
        <v>6570</v>
      </c>
      <c r="C42" s="10">
        <f>[2]!SPWS(Ticker,"lct[-9Y]")</f>
        <v>6595</v>
      </c>
      <c r="D42" s="10">
        <f>[2]!SPWS(Ticker,"lct[-8Y]")</f>
        <v>6879</v>
      </c>
      <c r="E42" s="10">
        <f>[2]!SPWS(Ticker,"lct[-7Y]")</f>
        <v>8006</v>
      </c>
      <c r="F42" s="10">
        <f>[2]!SPWS(Ticker,"lct[-6Y]")</f>
        <v>9234</v>
      </c>
      <c r="G42" s="10">
        <f>[2]!SPWS(Ticker,"lct[-5Y]")</f>
        <v>8514</v>
      </c>
      <c r="H42" s="10">
        <f>[2]!SPWS(Ticker,"lct[-4Y]")</f>
        <v>8571</v>
      </c>
      <c r="I42" s="10">
        <f>[2]!SPWS(Ticker,"lct[-3Y]")</f>
        <v>7818</v>
      </c>
      <c r="J42" s="10">
        <f>[2]!SPWS(Ticker,"lct[-2Y]")</f>
        <v>7591</v>
      </c>
      <c r="K42" s="10">
        <f>[2]!SPWS(Ticker,"lct[-1Y]")</f>
        <v>9327</v>
      </c>
      <c r="L42" s="10">
        <f>[2]!SPWS(Ticker,"lct[0Y]")</f>
        <v>12028</v>
      </c>
    </row>
    <row r="43" spans="1:12" ht="12.75">
      <c r="A43" s="6" t="s">
        <v>36</v>
      </c>
      <c r="B43" s="10">
        <f>[2]!SPWS(Ticker,"dltt[-10Y]")</f>
        <v>1050</v>
      </c>
      <c r="C43" s="10">
        <f>[2]!SPWS(Ticker,"dltt[-9Y]")</f>
        <v>929</v>
      </c>
      <c r="D43" s="10">
        <f>[2]!SPWS(Ticker,"dltt[-8Y]")</f>
        <v>936</v>
      </c>
      <c r="E43" s="10">
        <f>[2]!SPWS(Ticker,"dltt[-7Y]")</f>
        <v>703</v>
      </c>
      <c r="F43" s="10">
        <f>[2]!SPWS(Ticker,"dltt[-6Y]")</f>
        <v>2106</v>
      </c>
      <c r="G43" s="10">
        <f>[2]!SPWS(Ticker,"dltt[-5Y]")</f>
        <v>1848</v>
      </c>
      <c r="H43" s="10">
        <f>[2]!SPWS(Ticker,"dltt[-4Y]")</f>
        <v>1980</v>
      </c>
      <c r="I43" s="10">
        <f>[2]!SPWS(Ticker,"dltt[-3Y]")</f>
        <v>1886</v>
      </c>
      <c r="J43" s="10">
        <f>[2]!SPWS(Ticker,"dltt[-2Y]")</f>
        <v>2049</v>
      </c>
      <c r="K43" s="10">
        <f>[2]!SPWS(Ticker,"dltt[-1Y]")</f>
        <v>2077</v>
      </c>
      <c r="L43" s="10">
        <f>[2]!SPWS(Ticker,"dltt[0Y]")</f>
        <v>7084</v>
      </c>
    </row>
    <row r="44" spans="1:12" ht="12.75">
      <c r="A44" s="6" t="s">
        <v>37</v>
      </c>
      <c r="B44" s="10">
        <f>[2]!SPWS(Ticker,"txdb[-10Y]")</f>
        <v>945</v>
      </c>
      <c r="C44" s="10">
        <f>[2]!SPWS(Ticker,"txdb[-9Y]")</f>
        <v>1232</v>
      </c>
      <c r="D44" s="10">
        <f>[2]!SPWS(Ticker,"txdb[-8Y]")</f>
        <v>1482</v>
      </c>
      <c r="E44" s="10">
        <f>[2]!SPWS(Ticker,"txdb[-7Y]")</f>
        <v>855</v>
      </c>
      <c r="F44" s="10">
        <f>[2]!SPWS(Ticker,"txdb[-6Y]")</f>
        <v>703</v>
      </c>
      <c r="G44" s="10">
        <f>[2]!SPWS(Ticker,"txdb[-5Y]")</f>
        <v>265</v>
      </c>
      <c r="H44" s="10">
        <f>[2]!SPWS(Ticker,"txdb[-4Y]")</f>
        <v>411</v>
      </c>
      <c r="I44" s="10">
        <f>[2]!SPWS(Ticker,"txdb[-3Y]")</f>
        <v>46</v>
      </c>
      <c r="J44" s="10">
        <f>[2]!SPWS(Ticker,"txdb[-2Y]")</f>
        <v>555</v>
      </c>
      <c r="K44" s="10">
        <f>[2]!SPWS(Ticker,"txdb[-1Y]")</f>
        <v>926</v>
      </c>
      <c r="L44" s="10">
        <f>[2]!SPWS(Ticker,"txdb[0Y]")</f>
        <v>2617</v>
      </c>
    </row>
    <row r="45" spans="1:12" s="2" customFormat="1" ht="12.75">
      <c r="A45" s="8" t="s">
        <v>38</v>
      </c>
      <c r="B45" s="9">
        <f>[2]!SPWS(Ticker,"lt[-10Y]")</f>
        <v>8565</v>
      </c>
      <c r="C45" s="9">
        <f>[2]!SPWS(Ticker,"lt[-9Y]")</f>
        <v>8756</v>
      </c>
      <c r="D45" s="9">
        <f>[2]!SPWS(Ticker,"lt[-8Y]")</f>
        <v>9297</v>
      </c>
      <c r="E45" s="9">
        <f>[2]!SPWS(Ticker,"lt[-7Y]")</f>
        <v>9564</v>
      </c>
      <c r="F45" s="9">
        <f>[2]!SPWS(Ticker,"lt[-6Y]")</f>
        <v>12132</v>
      </c>
      <c r="G45" s="9">
        <f>[2]!SPWS(Ticker,"lt[-5Y]")</f>
        <v>11616</v>
      </c>
      <c r="H45" s="9">
        <f>[2]!SPWS(Ticker,"lt[-4Y]")</f>
        <v>12889</v>
      </c>
      <c r="I45" s="9">
        <f>[2]!SPWS(Ticker,"lt[-3Y]")</f>
        <v>11627</v>
      </c>
      <c r="J45" s="9">
        <f>[2]!SPWS(Ticker,"lt[-2Y]")</f>
        <v>11391</v>
      </c>
      <c r="K45" s="9">
        <f>[2]!SPWS(Ticker,"lt[-1Y]")</f>
        <v>13756</v>
      </c>
      <c r="L45" s="9">
        <f>[2]!SPWS(Ticker,"lt[0Y]")</f>
        <v>25208</v>
      </c>
    </row>
    <row r="46" spans="1:12" ht="12.75">
      <c r="A46" s="6" t="s">
        <v>39</v>
      </c>
      <c r="B46" s="10">
        <f>[2]!SPWS(Ticker,"pstk[-10Y]")</f>
        <v>0</v>
      </c>
      <c r="C46" s="10">
        <f>[2]!SPWS(Ticker,"pstk[-9Y]")</f>
        <v>0</v>
      </c>
      <c r="D46" s="10">
        <f>[2]!SPWS(Ticker,"pstk[-8Y]")</f>
        <v>0</v>
      </c>
      <c r="E46" s="10">
        <f>[2]!SPWS(Ticker,"pstk[-7Y]")</f>
        <v>0</v>
      </c>
      <c r="F46" s="10">
        <f>[2]!SPWS(Ticker,"pstk[-6Y]")</f>
        <v>0</v>
      </c>
      <c r="G46" s="10">
        <f>[2]!SPWS(Ticker,"pstk[-5Y]")</f>
        <v>0</v>
      </c>
      <c r="H46" s="10">
        <f>[2]!SPWS(Ticker,"pstk[-4Y]")</f>
        <v>0</v>
      </c>
      <c r="I46" s="10">
        <f>[2]!SPWS(Ticker,"pstk[-3Y]")</f>
        <v>0</v>
      </c>
      <c r="J46" s="10">
        <f>[2]!SPWS(Ticker,"pstk[-2Y]")</f>
        <v>0</v>
      </c>
      <c r="K46" s="10">
        <f>[2]!SPWS(Ticker,"pstk[-1Y]")</f>
        <v>0</v>
      </c>
      <c r="L46" s="10">
        <f>[2]!SPWS(Ticker,"pstk[0Y]")</f>
        <v>0</v>
      </c>
    </row>
    <row r="47" spans="1:12" ht="12.75">
      <c r="A47" s="6" t="s">
        <v>40</v>
      </c>
      <c r="B47" s="10">
        <f>[2]!SPWS(Ticker,"ceq[-10Y]")</f>
        <v>35830</v>
      </c>
      <c r="C47" s="10">
        <f>[2]!SPWS(Ticker,"ceq[-9Y]")</f>
        <v>35468</v>
      </c>
      <c r="D47" s="10">
        <f>[2]!SPWS(Ticker,"ceq[-8Y]")</f>
        <v>37846</v>
      </c>
      <c r="E47" s="10">
        <f>[2]!SPWS(Ticker,"ceq[-7Y]")</f>
        <v>38579</v>
      </c>
      <c r="F47" s="10">
        <f>[2]!SPWS(Ticker,"ceq[-6Y]")</f>
        <v>36182</v>
      </c>
      <c r="G47" s="10">
        <f>[2]!SPWS(Ticker,"ceq[-5Y]")</f>
        <v>36752</v>
      </c>
      <c r="H47" s="10">
        <f>[2]!SPWS(Ticker,"ceq[-4Y]")</f>
        <v>42762</v>
      </c>
      <c r="I47" s="10">
        <f>[2]!SPWS(Ticker,"ceq[-3Y]")</f>
        <v>39088</v>
      </c>
      <c r="J47" s="10">
        <f>[2]!SPWS(Ticker,"ceq[-2Y]")</f>
        <v>41704</v>
      </c>
      <c r="K47" s="10">
        <f>[2]!SPWS(Ticker,"ceq[-1Y]")</f>
        <v>49430</v>
      </c>
      <c r="L47" s="10">
        <f>[2]!SPWS(Ticker,"ceq[0Y]")</f>
        <v>45911</v>
      </c>
    </row>
    <row r="48" spans="1:12" s="2" customFormat="1" ht="12.75">
      <c r="A48" s="8" t="s">
        <v>41</v>
      </c>
      <c r="B48" s="9">
        <f>[2]!SPWS(Ticker,"seq[-10Y]")</f>
        <v>35830</v>
      </c>
      <c r="C48" s="9">
        <f>[2]!SPWS(Ticker,"seq[-9Y]")</f>
        <v>35468</v>
      </c>
      <c r="D48" s="9">
        <f>[2]!SPWS(Ticker,"seq[-8Y]")</f>
        <v>37846</v>
      </c>
      <c r="E48" s="9">
        <f>[2]!SPWS(Ticker,"seq[-7Y]")</f>
        <v>38579</v>
      </c>
      <c r="F48" s="9">
        <f>[2]!SPWS(Ticker,"seq[-6Y]")</f>
        <v>36182</v>
      </c>
      <c r="G48" s="9">
        <f>[2]!SPWS(Ticker,"seq[-5Y]")</f>
        <v>36752</v>
      </c>
      <c r="H48" s="9">
        <f>[2]!SPWS(Ticker,"seq[-4Y]")</f>
        <v>42762</v>
      </c>
      <c r="I48" s="9">
        <f>[2]!SPWS(Ticker,"seq[-3Y]")</f>
        <v>39088</v>
      </c>
      <c r="J48" s="9">
        <f>[2]!SPWS(Ticker,"seq[-2Y]")</f>
        <v>41704</v>
      </c>
      <c r="K48" s="9">
        <f>[2]!SPWS(Ticker,"seq[-1Y]")</f>
        <v>49430</v>
      </c>
      <c r="L48" s="9">
        <f>[2]!SPWS(Ticker,"seq[0Y]")</f>
        <v>45911</v>
      </c>
    </row>
    <row r="50" spans="1:12" ht="12.75">
      <c r="A50" s="6" t="s">
        <v>42</v>
      </c>
      <c r="B50" s="10">
        <f>[2]!SPWS(Ticker,"csho[-10Y]")</f>
        <v>6690</v>
      </c>
      <c r="C50" s="10">
        <f>[2]!SPWS(Ticker,"csho[-9Y]")</f>
        <v>6575</v>
      </c>
      <c r="D50" s="10">
        <f>[2]!SPWS(Ticker,"csho[-8Y]")</f>
        <v>6487</v>
      </c>
      <c r="E50" s="10">
        <f>[2]!SPWS(Ticker,"csho[-7Y]")</f>
        <v>6253</v>
      </c>
      <c r="F50" s="10">
        <f>[2]!SPWS(Ticker,"csho[-6Y]")</f>
        <v>5919</v>
      </c>
      <c r="G50" s="10">
        <f>[2]!SPWS(Ticker,"csho[-5Y]")</f>
        <v>5766</v>
      </c>
      <c r="H50" s="10">
        <f>[2]!SPWS(Ticker,"csho[-4Y]")</f>
        <v>5818</v>
      </c>
      <c r="I50" s="10">
        <f>[2]!SPWS(Ticker,"csho[-3Y]")</f>
        <v>5562</v>
      </c>
      <c r="J50" s="10">
        <f>[2]!SPWS(Ticker,"csho[-2Y]")</f>
        <v>5523</v>
      </c>
      <c r="K50" s="10">
        <f>[2]!SPWS(Ticker,"csho[-1Y]")</f>
        <v>5511</v>
      </c>
      <c r="L50" s="10">
        <f>[2]!SPWS(Ticker,"csho[0Y]")</f>
        <v>5000</v>
      </c>
    </row>
    <row r="51" spans="1:12" ht="12.75">
      <c r="A51" s="6" t="s">
        <v>43</v>
      </c>
      <c r="B51" s="10">
        <f>[2]!SPWS(Ticker,"PRCCF[-10Y]")</f>
        <v>31.450000762939453</v>
      </c>
      <c r="C51" s="10">
        <f>[2]!SPWS(Ticker,"PRCCF[-9Y]")</f>
        <v>15.569999694824219</v>
      </c>
      <c r="D51" s="10">
        <f>[2]!SPWS(Ticker,"PRCCF[-8Y]")</f>
        <v>32.04999923706055</v>
      </c>
      <c r="E51" s="10">
        <f>[2]!SPWS(Ticker,"PRCCF[-7Y]")</f>
        <v>23.389999389648438</v>
      </c>
      <c r="F51" s="10">
        <f>[2]!SPWS(Ticker,"PRCCF[-6Y]")</f>
        <v>24.959999084472656</v>
      </c>
      <c r="G51" s="10">
        <f>[2]!SPWS(Ticker,"PRCCF[-5Y]")</f>
        <v>20.25</v>
      </c>
      <c r="H51" s="10">
        <f>[2]!SPWS(Ticker,"PRCCF[-4Y]")</f>
        <v>26.65999984741211</v>
      </c>
      <c r="I51" s="10">
        <f>[2]!SPWS(Ticker,"PRCCF[-3Y]")</f>
        <v>14.65999984741211</v>
      </c>
      <c r="J51" s="10">
        <f>[2]!SPWS(Ticker,"PRCCF[-2Y]")</f>
        <v>20.399999618530273</v>
      </c>
      <c r="K51" s="10">
        <f>[2]!SPWS(Ticker,"PRCCF[-1Y]")</f>
        <v>21.030000686645508</v>
      </c>
      <c r="L51" s="10">
        <f>[2]!SPWS(Ticker,"PRCCF[0Y]")</f>
        <v>24.25</v>
      </c>
    </row>
    <row r="52" spans="1:12" ht="12.75">
      <c r="A52" s="6" t="s">
        <v>44</v>
      </c>
      <c r="B52" s="10">
        <f>[2]!SPWS(Ticker,"DVC[-10Y]")</f>
        <v>538</v>
      </c>
      <c r="C52" s="10">
        <f>[2]!SPWS(Ticker,"DVC[-9Y]")</f>
        <v>533</v>
      </c>
      <c r="D52" s="10">
        <f>[2]!SPWS(Ticker,"DVC[-8Y]")</f>
        <v>524</v>
      </c>
      <c r="E52" s="10">
        <f>[2]!SPWS(Ticker,"DVC[-7Y]")</f>
        <v>1022</v>
      </c>
      <c r="F52" s="10">
        <f>[2]!SPWS(Ticker,"DVC[-6Y]")</f>
        <v>1958</v>
      </c>
      <c r="G52" s="10">
        <f>[2]!SPWS(Ticker,"DVC[-5Y]")</f>
        <v>2320</v>
      </c>
      <c r="H52" s="10">
        <f>[2]!SPWS(Ticker,"DVC[-4Y]")</f>
        <v>2618</v>
      </c>
      <c r="I52" s="10">
        <f>[2]!SPWS(Ticker,"DVC[-3Y]")</f>
        <v>2320</v>
      </c>
      <c r="J52" s="10">
        <f>[2]!SPWS(Ticker,"DVC[-2Y]")</f>
        <v>3108</v>
      </c>
      <c r="K52" s="10">
        <f>[2]!SPWS(Ticker,"DVC[-1Y]")</f>
        <v>3503</v>
      </c>
      <c r="L52" s="10">
        <f>[2]!SPWS(Ticker,"DVC[0Y]")</f>
        <v>4127</v>
      </c>
    </row>
  </sheetData>
  <sheetProtection/>
  <mergeCells count="4">
    <mergeCell ref="B2:C2"/>
    <mergeCell ref="B3:C3"/>
    <mergeCell ref="B4:C4"/>
    <mergeCell ref="B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cbpa.admin</dc:creator>
  <cp:keywords/>
  <dc:description/>
  <cp:lastModifiedBy>ISUH</cp:lastModifiedBy>
  <dcterms:created xsi:type="dcterms:W3CDTF">2006-01-20T20:14:00Z</dcterms:created>
  <dcterms:modified xsi:type="dcterms:W3CDTF">2013-01-28T15:21:46Z</dcterms:modified>
  <cp:category/>
  <cp:version/>
  <cp:contentType/>
  <cp:contentStatus/>
</cp:coreProperties>
</file>