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Sheet1" sheetId="1" r:id="rId1"/>
  </sheets>
  <externalReferences>
    <externalReference r:id="rId2"/>
  </externalReferences>
  <definedNames>
    <definedName name="ListOffset" hidden="1">1</definedName>
    <definedName name="RecalcRequired" localSheetId="0" hidden="1">""</definedName>
    <definedName name="ReportGroup" localSheetId="0" hidden="1">"0"</definedName>
    <definedName name="RIChartType" localSheetId="0" hidden="1">""</definedName>
    <definedName name="RIReportType" localSheetId="0" hidden="1">"0"</definedName>
    <definedName name="Set">" "</definedName>
    <definedName name="SheetTicker" localSheetId="0" hidden="1">"K"</definedName>
    <definedName name="SPRI_ShowListBox" localSheetId="0" hidden="1">"1"</definedName>
    <definedName name="SPWS_WBID">"ACBEF7D7-D2DD-4D28-98A9-16335105C890"</definedName>
    <definedName name="SPWS_WSID" localSheetId="0" hidden="1">"742C0638-4788-4447-8477-3D589DAE89F2"</definedName>
    <definedName name="Ticker">"K"</definedName>
  </definedNames>
  <calcPr calcId="145621"/>
</workbook>
</file>

<file path=xl/calcChain.xml><?xml version="1.0" encoding="utf-8"?>
<calcChain xmlns="http://schemas.openxmlformats.org/spreadsheetml/2006/main">
  <c r="L52" i="1" l="1"/>
  <c r="H52" i="1"/>
  <c r="D52" i="1"/>
  <c r="K51" i="1"/>
  <c r="G51" i="1"/>
  <c r="C51" i="1"/>
  <c r="J50" i="1"/>
  <c r="F50" i="1"/>
  <c r="B50" i="1"/>
  <c r="I48" i="1"/>
  <c r="E48" i="1"/>
  <c r="L47" i="1"/>
  <c r="H47" i="1"/>
  <c r="D47" i="1"/>
  <c r="K46" i="1"/>
  <c r="G46" i="1"/>
  <c r="C46" i="1"/>
  <c r="J45" i="1"/>
  <c r="F45" i="1"/>
  <c r="B45" i="1"/>
  <c r="I44" i="1"/>
  <c r="E44" i="1"/>
  <c r="L43" i="1"/>
  <c r="H43" i="1"/>
  <c r="D43" i="1"/>
  <c r="K42" i="1"/>
  <c r="G42" i="1"/>
  <c r="C42" i="1"/>
  <c r="J41" i="1"/>
  <c r="F41" i="1"/>
  <c r="B41" i="1"/>
  <c r="I40" i="1"/>
  <c r="E40" i="1"/>
  <c r="L39" i="1"/>
  <c r="H39" i="1"/>
  <c r="D39" i="1"/>
  <c r="K38" i="1"/>
  <c r="G38" i="1"/>
  <c r="C38" i="1"/>
  <c r="J37" i="1"/>
  <c r="F37" i="1"/>
  <c r="B37" i="1"/>
  <c r="I36" i="1"/>
  <c r="E36" i="1"/>
  <c r="L35" i="1"/>
  <c r="H35" i="1"/>
  <c r="D35" i="1"/>
  <c r="K34" i="1"/>
  <c r="G34" i="1"/>
  <c r="C34" i="1"/>
  <c r="J33" i="1"/>
  <c r="F33" i="1"/>
  <c r="B33" i="1"/>
  <c r="I32" i="1"/>
  <c r="E32" i="1"/>
  <c r="L31" i="1"/>
  <c r="H31" i="1"/>
  <c r="D31" i="1"/>
  <c r="K30" i="1"/>
  <c r="G30" i="1"/>
  <c r="C30" i="1"/>
  <c r="J29" i="1"/>
  <c r="F29" i="1"/>
  <c r="B29" i="1"/>
  <c r="I28" i="1"/>
  <c r="E28" i="1"/>
  <c r="L27" i="1"/>
  <c r="H27" i="1"/>
  <c r="D27" i="1"/>
  <c r="K26" i="1"/>
  <c r="G26" i="1"/>
  <c r="C26" i="1"/>
  <c r="J24" i="1"/>
  <c r="F24" i="1"/>
  <c r="B24" i="1"/>
  <c r="I23" i="1"/>
  <c r="E23" i="1"/>
  <c r="L22" i="1"/>
  <c r="H22" i="1"/>
  <c r="D22" i="1"/>
  <c r="K21" i="1"/>
  <c r="G21" i="1"/>
  <c r="C21" i="1"/>
  <c r="J20" i="1"/>
  <c r="F20" i="1"/>
  <c r="B20" i="1"/>
  <c r="I19" i="1"/>
  <c r="E19" i="1"/>
  <c r="L18" i="1"/>
  <c r="H18" i="1"/>
  <c r="D18" i="1"/>
  <c r="K17" i="1"/>
  <c r="G17" i="1"/>
  <c r="C17" i="1"/>
  <c r="J16" i="1"/>
  <c r="F16" i="1"/>
  <c r="B16" i="1"/>
  <c r="I15" i="1"/>
  <c r="E15" i="1"/>
  <c r="L14" i="1"/>
  <c r="H14" i="1"/>
  <c r="D14" i="1"/>
  <c r="K13" i="1"/>
  <c r="G13" i="1"/>
  <c r="C13" i="1"/>
  <c r="J12" i="1"/>
  <c r="F12" i="1"/>
  <c r="B12" i="1"/>
  <c r="I11" i="1"/>
  <c r="E11" i="1"/>
  <c r="L10" i="1"/>
  <c r="H10" i="1"/>
  <c r="D10" i="1"/>
  <c r="K9" i="1"/>
  <c r="G9" i="1"/>
  <c r="C9" i="1"/>
  <c r="J8" i="1"/>
  <c r="F8" i="1"/>
  <c r="B8" i="1"/>
  <c r="I7" i="1"/>
  <c r="E7" i="1"/>
  <c r="B5" i="1"/>
  <c r="J52" i="1"/>
  <c r="B52" i="1"/>
  <c r="I51" i="1"/>
  <c r="L50" i="1"/>
  <c r="H50" i="1"/>
  <c r="K52" i="1"/>
  <c r="G52" i="1"/>
  <c r="C52" i="1"/>
  <c r="J51" i="1"/>
  <c r="F51" i="1"/>
  <c r="B51" i="1"/>
  <c r="I50" i="1"/>
  <c r="E50" i="1"/>
  <c r="L48" i="1"/>
  <c r="H48" i="1"/>
  <c r="D48" i="1"/>
  <c r="K47" i="1"/>
  <c r="G47" i="1"/>
  <c r="C47" i="1"/>
  <c r="J46" i="1"/>
  <c r="F46" i="1"/>
  <c r="B46" i="1"/>
  <c r="I45" i="1"/>
  <c r="E45" i="1"/>
  <c r="L44" i="1"/>
  <c r="H44" i="1"/>
  <c r="D44" i="1"/>
  <c r="K43" i="1"/>
  <c r="G43" i="1"/>
  <c r="C43" i="1"/>
  <c r="J42" i="1"/>
  <c r="F42" i="1"/>
  <c r="B42" i="1"/>
  <c r="I41" i="1"/>
  <c r="E41" i="1"/>
  <c r="L40" i="1"/>
  <c r="H40" i="1"/>
  <c r="D40" i="1"/>
  <c r="K39" i="1"/>
  <c r="G39" i="1"/>
  <c r="C39" i="1"/>
  <c r="J38" i="1"/>
  <c r="F38" i="1"/>
  <c r="B38" i="1"/>
  <c r="I37" i="1"/>
  <c r="E37" i="1"/>
  <c r="L36" i="1"/>
  <c r="H36" i="1"/>
  <c r="D36" i="1"/>
  <c r="K35" i="1"/>
  <c r="G35" i="1"/>
  <c r="C35" i="1"/>
  <c r="J34" i="1"/>
  <c r="F34" i="1"/>
  <c r="B34" i="1"/>
  <c r="I33" i="1"/>
  <c r="E33" i="1"/>
  <c r="L32" i="1"/>
  <c r="H32" i="1"/>
  <c r="D32" i="1"/>
  <c r="K31" i="1"/>
  <c r="G31" i="1"/>
  <c r="C31" i="1"/>
  <c r="J30" i="1"/>
  <c r="F30" i="1"/>
  <c r="B30" i="1"/>
  <c r="I29" i="1"/>
  <c r="E29" i="1"/>
  <c r="L28" i="1"/>
  <c r="H28" i="1"/>
  <c r="D28" i="1"/>
  <c r="K27" i="1"/>
  <c r="G27" i="1"/>
  <c r="C27" i="1"/>
  <c r="J26" i="1"/>
  <c r="F26" i="1"/>
  <c r="B26" i="1"/>
  <c r="I24" i="1"/>
  <c r="E24" i="1"/>
  <c r="L23" i="1"/>
  <c r="H23" i="1"/>
  <c r="D23" i="1"/>
  <c r="K22" i="1"/>
  <c r="G22" i="1"/>
  <c r="C22" i="1"/>
  <c r="J21" i="1"/>
  <c r="F21" i="1"/>
  <c r="B21" i="1"/>
  <c r="I20" i="1"/>
  <c r="E20" i="1"/>
  <c r="L19" i="1"/>
  <c r="H19" i="1"/>
  <c r="D19" i="1"/>
  <c r="K18" i="1"/>
  <c r="G18" i="1"/>
  <c r="C18" i="1"/>
  <c r="J17" i="1"/>
  <c r="F17" i="1"/>
  <c r="B17" i="1"/>
  <c r="I16" i="1"/>
  <c r="E16" i="1"/>
  <c r="L15" i="1"/>
  <c r="H15" i="1"/>
  <c r="D15" i="1"/>
  <c r="K14" i="1"/>
  <c r="G14" i="1"/>
  <c r="C14" i="1"/>
  <c r="J13" i="1"/>
  <c r="F13" i="1"/>
  <c r="B13" i="1"/>
  <c r="I12" i="1"/>
  <c r="E12" i="1"/>
  <c r="L11" i="1"/>
  <c r="H11" i="1"/>
  <c r="D11" i="1"/>
  <c r="K10" i="1"/>
  <c r="G10" i="1"/>
  <c r="C10" i="1"/>
  <c r="J9" i="1"/>
  <c r="F9" i="1"/>
  <c r="B9" i="1"/>
  <c r="I8" i="1"/>
  <c r="E8" i="1"/>
  <c r="L7" i="1"/>
  <c r="H7" i="1"/>
  <c r="D7" i="1"/>
  <c r="B4" i="1"/>
  <c r="F52" i="1"/>
  <c r="E51" i="1"/>
  <c r="D50" i="1"/>
  <c r="I52" i="1"/>
  <c r="D51" i="1"/>
  <c r="K48" i="1"/>
  <c r="C48" i="1"/>
  <c r="F47" i="1"/>
  <c r="I46" i="1"/>
  <c r="L45" i="1"/>
  <c r="D45" i="1"/>
  <c r="G44" i="1"/>
  <c r="J43" i="1"/>
  <c r="B43" i="1"/>
  <c r="E42" i="1"/>
  <c r="H41" i="1"/>
  <c r="K40" i="1"/>
  <c r="C40" i="1"/>
  <c r="F39" i="1"/>
  <c r="I38" i="1"/>
  <c r="L37" i="1"/>
  <c r="D37" i="1"/>
  <c r="G36" i="1"/>
  <c r="J35" i="1"/>
  <c r="B35" i="1"/>
  <c r="E34" i="1"/>
  <c r="H33" i="1"/>
  <c r="K32" i="1"/>
  <c r="C32" i="1"/>
  <c r="F31" i="1"/>
  <c r="I30" i="1"/>
  <c r="L29" i="1"/>
  <c r="D29" i="1"/>
  <c r="G28" i="1"/>
  <c r="J27" i="1"/>
  <c r="B27" i="1"/>
  <c r="E26" i="1"/>
  <c r="H24" i="1"/>
  <c r="K23" i="1"/>
  <c r="C23" i="1"/>
  <c r="F22" i="1"/>
  <c r="I21" i="1"/>
  <c r="L20" i="1"/>
  <c r="D20" i="1"/>
  <c r="G19" i="1"/>
  <c r="J18" i="1"/>
  <c r="B18" i="1"/>
  <c r="E17" i="1"/>
  <c r="H16" i="1"/>
  <c r="K15" i="1"/>
  <c r="C15" i="1"/>
  <c r="F14" i="1"/>
  <c r="I13" i="1"/>
  <c r="L12" i="1"/>
  <c r="D12" i="1"/>
  <c r="G11" i="1"/>
  <c r="J10" i="1"/>
  <c r="B10" i="1"/>
  <c r="E9" i="1"/>
  <c r="H8" i="1"/>
  <c r="K7" i="1"/>
  <c r="C7" i="1"/>
  <c r="G50" i="1"/>
  <c r="C44" i="1"/>
  <c r="L41" i="1"/>
  <c r="G40" i="1"/>
  <c r="B39" i="1"/>
  <c r="H37" i="1"/>
  <c r="C36" i="1"/>
  <c r="I34" i="1"/>
  <c r="G32" i="1"/>
  <c r="E30" i="1"/>
  <c r="K28" i="1"/>
  <c r="F27" i="1"/>
  <c r="L24" i="1"/>
  <c r="J22" i="1"/>
  <c r="B22" i="1"/>
  <c r="H20" i="1"/>
  <c r="C19" i="1"/>
  <c r="I17" i="1"/>
  <c r="G15" i="1"/>
  <c r="B14" i="1"/>
  <c r="H12" i="1"/>
  <c r="C11" i="1"/>
  <c r="I9" i="1"/>
  <c r="D8" i="1"/>
  <c r="B3" i="1"/>
  <c r="H51" i="1"/>
  <c r="F48" i="1"/>
  <c r="I47" i="1"/>
  <c r="L46" i="1"/>
  <c r="D46" i="1"/>
  <c r="J44" i="1"/>
  <c r="E43" i="1"/>
  <c r="K41" i="1"/>
  <c r="F40" i="1"/>
  <c r="L38" i="1"/>
  <c r="G37" i="1"/>
  <c r="B36" i="1"/>
  <c r="H34" i="1"/>
  <c r="C33" i="1"/>
  <c r="L30" i="1"/>
  <c r="G29" i="1"/>
  <c r="B28" i="1"/>
  <c r="H26" i="1"/>
  <c r="C24" i="1"/>
  <c r="I22" i="1"/>
  <c r="D21" i="1"/>
  <c r="J19" i="1"/>
  <c r="E18" i="1"/>
  <c r="K16" i="1"/>
  <c r="F15" i="1"/>
  <c r="D13" i="1"/>
  <c r="J11" i="1"/>
  <c r="E10" i="1"/>
  <c r="K8" i="1"/>
  <c r="B2" i="1"/>
  <c r="E52" i="1"/>
  <c r="K50" i="1"/>
  <c r="J48" i="1"/>
  <c r="B48" i="1"/>
  <c r="E47" i="1"/>
  <c r="H46" i="1"/>
  <c r="K45" i="1"/>
  <c r="C45" i="1"/>
  <c r="F44" i="1"/>
  <c r="I43" i="1"/>
  <c r="L42" i="1"/>
  <c r="D42" i="1"/>
  <c r="G41" i="1"/>
  <c r="J40" i="1"/>
  <c r="B40" i="1"/>
  <c r="E39" i="1"/>
  <c r="H38" i="1"/>
  <c r="K37" i="1"/>
  <c r="C37" i="1"/>
  <c r="F36" i="1"/>
  <c r="I35" i="1"/>
  <c r="L34" i="1"/>
  <c r="D34" i="1"/>
  <c r="G33" i="1"/>
  <c r="J32" i="1"/>
  <c r="B32" i="1"/>
  <c r="E31" i="1"/>
  <c r="H30" i="1"/>
  <c r="K29" i="1"/>
  <c r="C29" i="1"/>
  <c r="F28" i="1"/>
  <c r="I27" i="1"/>
  <c r="L26" i="1"/>
  <c r="D26" i="1"/>
  <c r="G24" i="1"/>
  <c r="J23" i="1"/>
  <c r="B23" i="1"/>
  <c r="E22" i="1"/>
  <c r="H21" i="1"/>
  <c r="K20" i="1"/>
  <c r="C20" i="1"/>
  <c r="F19" i="1"/>
  <c r="I18" i="1"/>
  <c r="L17" i="1"/>
  <c r="D17" i="1"/>
  <c r="G16" i="1"/>
  <c r="J15" i="1"/>
  <c r="B15" i="1"/>
  <c r="E14" i="1"/>
  <c r="H13" i="1"/>
  <c r="K12" i="1"/>
  <c r="C12" i="1"/>
  <c r="F11" i="1"/>
  <c r="I10" i="1"/>
  <c r="L9" i="1"/>
  <c r="D9" i="1"/>
  <c r="G8" i="1"/>
  <c r="J7" i="1"/>
  <c r="B7" i="1"/>
  <c r="L51" i="1"/>
  <c r="G48" i="1"/>
  <c r="J47" i="1"/>
  <c r="B47" i="1"/>
  <c r="E46" i="1"/>
  <c r="H45" i="1"/>
  <c r="K44" i="1"/>
  <c r="F43" i="1"/>
  <c r="I42" i="1"/>
  <c r="D41" i="1"/>
  <c r="J39" i="1"/>
  <c r="E38" i="1"/>
  <c r="K36" i="1"/>
  <c r="F35" i="1"/>
  <c r="L33" i="1"/>
  <c r="D33" i="1"/>
  <c r="J31" i="1"/>
  <c r="B31" i="1"/>
  <c r="H29" i="1"/>
  <c r="C28" i="1"/>
  <c r="I26" i="1"/>
  <c r="D24" i="1"/>
  <c r="G23" i="1"/>
  <c r="E21" i="1"/>
  <c r="K19" i="1"/>
  <c r="F18" i="1"/>
  <c r="L16" i="1"/>
  <c r="D16" i="1"/>
  <c r="J14" i="1"/>
  <c r="E13" i="1"/>
  <c r="K11" i="1"/>
  <c r="F10" i="1"/>
  <c r="L8" i="1"/>
  <c r="G7" i="1"/>
  <c r="C50" i="1"/>
  <c r="G45" i="1"/>
  <c r="B44" i="1"/>
  <c r="H42" i="1"/>
  <c r="C41" i="1"/>
  <c r="I39" i="1"/>
  <c r="D38" i="1"/>
  <c r="J36" i="1"/>
  <c r="E35" i="1"/>
  <c r="K33" i="1"/>
  <c r="F32" i="1"/>
  <c r="I31" i="1"/>
  <c r="D30" i="1"/>
  <c r="J28" i="1"/>
  <c r="E27" i="1"/>
  <c r="K24" i="1"/>
  <c r="F23" i="1"/>
  <c r="L21" i="1"/>
  <c r="G20" i="1"/>
  <c r="B19" i="1"/>
  <c r="H17" i="1"/>
  <c r="C16" i="1"/>
  <c r="I14" i="1"/>
  <c r="L13" i="1"/>
  <c r="G12" i="1"/>
  <c r="B11" i="1"/>
  <c r="H9" i="1"/>
  <c r="C8" i="1"/>
  <c r="F7" i="1"/>
</calcChain>
</file>

<file path=xl/sharedStrings.xml><?xml version="1.0" encoding="utf-8"?>
<sst xmlns="http://schemas.openxmlformats.org/spreadsheetml/2006/main" count="48" uniqueCount="48">
  <si>
    <t>TICKER:</t>
  </si>
  <si>
    <t>SIC:</t>
  </si>
  <si>
    <t>GICS:</t>
  </si>
  <si>
    <t>Sales</t>
  </si>
  <si>
    <t>Cost of Sales</t>
  </si>
  <si>
    <t>Gross Profit</t>
  </si>
  <si>
    <t>EBITDA</t>
  </si>
  <si>
    <t>Depreciation</t>
  </si>
  <si>
    <t>EBIT</t>
  </si>
  <si>
    <t>Interest Expense</t>
  </si>
  <si>
    <t>Nonop Income/Expense</t>
  </si>
  <si>
    <t>Special Items</t>
  </si>
  <si>
    <t>Pretax Income</t>
  </si>
  <si>
    <t>Total Taxes</t>
  </si>
  <si>
    <t>Income Bef Extra Items</t>
  </si>
  <si>
    <t>Cash Preferred Div</t>
  </si>
  <si>
    <t>Disc Operations</t>
  </si>
  <si>
    <t>Extra Items</t>
  </si>
  <si>
    <t>Net Income</t>
  </si>
  <si>
    <t>Cash</t>
  </si>
  <si>
    <t>Receivables</t>
  </si>
  <si>
    <t>Bad Debt Reserve</t>
  </si>
  <si>
    <t>Inventory</t>
  </si>
  <si>
    <t>Total Current Assets</t>
  </si>
  <si>
    <t>PP&amp;E</t>
  </si>
  <si>
    <t>Intangibles</t>
  </si>
  <si>
    <t>Deferred Charges</t>
  </si>
  <si>
    <t>Equity Investments</t>
  </si>
  <si>
    <t>Other Investments</t>
  </si>
  <si>
    <t>Total Assets</t>
  </si>
  <si>
    <t xml:space="preserve">Debt - Current Portion </t>
  </si>
  <si>
    <t>Notes Payable</t>
  </si>
  <si>
    <t>Accounts Payable</t>
  </si>
  <si>
    <t>Taxes Payable</t>
  </si>
  <si>
    <t>Total Current Liabilities</t>
  </si>
  <si>
    <t>Total Long Term Debt</t>
  </si>
  <si>
    <t>Deferred LT Taxes</t>
  </si>
  <si>
    <t>Total Liabilities</t>
  </si>
  <si>
    <t>Preferred Stock - Total</t>
  </si>
  <si>
    <t>Common Equity</t>
  </si>
  <si>
    <t>Total Stockholders' Equity</t>
  </si>
  <si>
    <t>Common Shares O/S</t>
  </si>
  <si>
    <t>Price-Close Fiscal Year</t>
  </si>
  <si>
    <t>Cash Dividends-Common</t>
  </si>
  <si>
    <t>Company:</t>
  </si>
  <si>
    <t>Income Statement</t>
  </si>
  <si>
    <t>Balance Sheet</t>
  </si>
  <si>
    <t>SG&amp;A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</si>
</sst>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\(#,##0.000\)"/>
    <numFmt numFmtId="166" formatCode="0_);\(0\)"/>
  </numFmts>
  <fonts count="6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2" fillId="0" borderId="0" xfId="0" applyNumberFormat="1" applyFont="1" applyFill="1" applyBorder="1"/>
    <xf numFmtId="164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/>
    <xf numFmtId="164" fontId="5" fillId="2" borderId="9" xfId="0" applyNumberFormat="1" applyFont="1" applyFill="1" applyBorder="1"/>
    <xf numFmtId="164" fontId="5" fillId="2" borderId="10" xfId="0" applyNumberFormat="1" applyFont="1" applyFill="1" applyBorder="1"/>
    <xf numFmtId="164" fontId="3" fillId="5" borderId="0" xfId="0" applyNumberFormat="1" applyFont="1" applyFill="1" applyBorder="1" applyAlignment="1">
      <alignment horizontal="center"/>
    </xf>
    <xf numFmtId="164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Research%20Insight\Excel\SPRI80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 Button Caps"/>
    </sheetNames>
    <definedNames>
      <definedName name="SPW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workbookViewId="0"/>
  </sheetViews>
  <sheetFormatPr defaultRowHeight="12.75" x14ac:dyDescent="0.2"/>
  <cols>
    <col min="1" max="1" width="25.5703125" style="1" bestFit="1" customWidth="1"/>
    <col min="2" max="12" width="13.42578125" style="1" bestFit="1" customWidth="1"/>
    <col min="13" max="16384" width="9.140625" style="1"/>
  </cols>
  <sheetData>
    <row r="2" spans="1:12" x14ac:dyDescent="0.2">
      <c r="A2" s="15" t="s">
        <v>44</v>
      </c>
      <c r="B2" s="7" t="str">
        <f>[1]!SPWS(Ticker,"CONM")</f>
        <v>KELLOGG CO</v>
      </c>
      <c r="C2" s="7"/>
    </row>
    <row r="3" spans="1:12" x14ac:dyDescent="0.2">
      <c r="A3" s="16" t="s">
        <v>0</v>
      </c>
      <c r="B3" s="9" t="str">
        <f>[1]!SPWS(Ticker,"TIC")</f>
        <v>K</v>
      </c>
      <c r="C3" s="10"/>
    </row>
    <row r="4" spans="1:12" x14ac:dyDescent="0.2">
      <c r="A4" s="16" t="s">
        <v>1</v>
      </c>
      <c r="B4" s="11">
        <f>[1]!SPWS(Ticker,"SIC")</f>
        <v>2040</v>
      </c>
      <c r="C4" s="12"/>
    </row>
    <row r="5" spans="1:12" x14ac:dyDescent="0.2">
      <c r="A5" s="17" t="s">
        <v>2</v>
      </c>
      <c r="B5" s="13" t="str">
        <f>[1]!SPWS(Ticker,"SPGICX")</f>
        <v>30202030</v>
      </c>
      <c r="C5" s="14"/>
    </row>
    <row r="7" spans="1:12" s="2" customFormat="1" x14ac:dyDescent="0.2">
      <c r="A7" s="8" t="s">
        <v>45</v>
      </c>
      <c r="B7" s="18" t="str">
        <f>[1]!SPWS(Ticker,"@MNT(-10Y)")</f>
        <v>Dec03</v>
      </c>
      <c r="C7" s="18" t="str">
        <f>[1]!SPWS(Ticker,"@MNT(-9Y)")</f>
        <v>Dec04</v>
      </c>
      <c r="D7" s="18" t="str">
        <f>[1]!SPWS(Ticker,"@MNT(-8Y)")</f>
        <v>Dec05</v>
      </c>
      <c r="E7" s="18" t="str">
        <f>[1]!SPWS(Ticker,"@MNT(-7Y)")</f>
        <v>Dec06</v>
      </c>
      <c r="F7" s="18" t="str">
        <f>[1]!SPWS(Ticker,"@MNT(-6Y)")</f>
        <v>Dec07</v>
      </c>
      <c r="G7" s="18" t="str">
        <f>[1]!SPWS(Ticker,"@MNT(-5Y)")</f>
        <v>Dec08</v>
      </c>
      <c r="H7" s="18" t="str">
        <f>[1]!SPWS(Ticker,"@MNT(-4Y)")</f>
        <v>Dec09</v>
      </c>
      <c r="I7" s="18" t="str">
        <f>[1]!SPWS(Ticker,"@MNT(-3Y)")</f>
        <v>Dec10</v>
      </c>
      <c r="J7" s="18" t="str">
        <f>[1]!SPWS(Ticker,"@MNT(-2Y)")</f>
        <v>Dec11</v>
      </c>
      <c r="K7" s="18" t="str">
        <f>[1]!SPWS(Ticker,"@MNT(-1Y)")</f>
        <v>Dec12</v>
      </c>
      <c r="L7" s="18" t="str">
        <f>[1]!SPWS(Ticker,"@MNT(0Y)")</f>
        <v>Dec13</v>
      </c>
    </row>
    <row r="8" spans="1:12" s="5" customFormat="1" x14ac:dyDescent="0.2">
      <c r="A8" s="3" t="s">
        <v>3</v>
      </c>
      <c r="B8" s="4">
        <f>[1]!SPWS(Ticker,"Sale[-10Y]")</f>
        <v>8811.5</v>
      </c>
      <c r="C8" s="4">
        <f>[1]!SPWS(Ticker,"Sale[-9Y]")</f>
        <v>9613.900390625</v>
      </c>
      <c r="D8" s="4">
        <f>[1]!SPWS(Ticker,"Sale[-8Y]")</f>
        <v>10177.2001953125</v>
      </c>
      <c r="E8" s="4">
        <f>[1]!SPWS(Ticker,"Sale[-7Y]")</f>
        <v>10906.7001953125</v>
      </c>
      <c r="F8" s="4">
        <f>[1]!SPWS(Ticker,"Sale[-6Y]")</f>
        <v>11776</v>
      </c>
      <c r="G8" s="4">
        <f>[1]!SPWS(Ticker,"Sale[-5Y]")</f>
        <v>12822</v>
      </c>
      <c r="H8" s="4">
        <f>[1]!SPWS(Ticker,"Sale[-4Y]")</f>
        <v>12575</v>
      </c>
      <c r="I8" s="4">
        <f>[1]!SPWS(Ticker,"Sale[-3Y]")</f>
        <v>12397</v>
      </c>
      <c r="J8" s="4">
        <f>[1]!SPWS(Ticker,"Sale[-2Y]")</f>
        <v>13198</v>
      </c>
      <c r="K8" s="4">
        <f>[1]!SPWS(Ticker,"Sale[-1Y]")</f>
        <v>14197</v>
      </c>
      <c r="L8" s="4">
        <f>[1]!SPWS(Ticker,"Sale[0Y]")</f>
        <v>14797</v>
      </c>
    </row>
    <row r="9" spans="1:12" x14ac:dyDescent="0.2">
      <c r="A9" s="19" t="s">
        <v>4</v>
      </c>
      <c r="B9" s="6">
        <f>[1]!SPWS(Ticker,"cogs[-10Y]")</f>
        <v>4500.10009765625</v>
      </c>
      <c r="C9" s="6">
        <f>[1]!SPWS(Ticker,"cogs[-9Y]")</f>
        <v>4845.10009765625</v>
      </c>
      <c r="D9" s="6">
        <f>[1]!SPWS(Ticker,"cogs[-8Y]")</f>
        <v>5129.7998046875</v>
      </c>
      <c r="E9" s="6">
        <f>[1]!SPWS(Ticker,"cogs[-7Y]")</f>
        <v>5654.7998046875</v>
      </c>
      <c r="F9" s="6">
        <f>[1]!SPWS(Ticker,"cogs[-6Y]")</f>
        <v>6202</v>
      </c>
      <c r="G9" s="6">
        <f>[1]!SPWS(Ticker,"cogs[-5Y]")</f>
        <v>7035</v>
      </c>
      <c r="H9" s="6">
        <f>[1]!SPWS(Ticker,"cogs[-4Y]")</f>
        <v>6702</v>
      </c>
      <c r="I9" s="6">
        <f>[1]!SPWS(Ticker,"cogs[-3Y]")</f>
        <v>6671</v>
      </c>
      <c r="J9" s="6">
        <f>[1]!SPWS(Ticker,"cogs[-2Y]")</f>
        <v>7366</v>
      </c>
      <c r="K9" s="6">
        <f>[1]!SPWS(Ticker,"cogs[-1Y]")</f>
        <v>8269</v>
      </c>
      <c r="L9" s="6">
        <f>[1]!SPWS(Ticker,"cogs[0Y]")</f>
        <v>7947</v>
      </c>
    </row>
    <row r="10" spans="1:12" x14ac:dyDescent="0.2">
      <c r="A10" s="19" t="s">
        <v>5</v>
      </c>
      <c r="B10" s="6">
        <f>[1]!SPWS(Ticker,"(SALE-COGS)[-10Y]")</f>
        <v>4311.39990234375</v>
      </c>
      <c r="C10" s="6">
        <f>[1]!SPWS(Ticker,"(SALE-COGS)[-9Y]")</f>
        <v>4768.80029296875</v>
      </c>
      <c r="D10" s="6">
        <f>[1]!SPWS(Ticker,"(SALE-COGS)[-8Y]")</f>
        <v>5047.400390625</v>
      </c>
      <c r="E10" s="6">
        <f>[1]!SPWS(Ticker,"(SALE-COGS)[-7Y]")</f>
        <v>5251.900390625</v>
      </c>
      <c r="F10" s="6">
        <f>[1]!SPWS(Ticker,"(SALE-COGS)[-6Y]")</f>
        <v>5574</v>
      </c>
      <c r="G10" s="6">
        <f>[1]!SPWS(Ticker,"(SALE-COGS)[-5Y]")</f>
        <v>5787</v>
      </c>
      <c r="H10" s="6">
        <f>[1]!SPWS(Ticker,"(SALE-COGS)[-4Y]")</f>
        <v>5873</v>
      </c>
      <c r="I10" s="6">
        <f>[1]!SPWS(Ticker,"(SALE-COGS)[-3Y]")</f>
        <v>5726</v>
      </c>
      <c r="J10" s="6">
        <f>[1]!SPWS(Ticker,"(SALE-COGS)[-2Y]")</f>
        <v>5832</v>
      </c>
      <c r="K10" s="6">
        <f>[1]!SPWS(Ticker,"(SALE-COGS)[-1Y]")</f>
        <v>5928</v>
      </c>
      <c r="L10" s="6">
        <f>[1]!SPWS(Ticker,"(SALE-COGS)[0Y]")</f>
        <v>6850</v>
      </c>
    </row>
    <row r="11" spans="1:12" x14ac:dyDescent="0.2">
      <c r="A11" s="19" t="s">
        <v>47</v>
      </c>
      <c r="B11" s="6">
        <f>[1]!SPWS(Ticker,"xsga[-10Y]")</f>
        <v>2358.5</v>
      </c>
      <c r="C11" s="6">
        <f>[1]!SPWS(Ticker,"xsga[-9Y]")</f>
        <v>2560.699951171875</v>
      </c>
      <c r="D11" s="6">
        <f>[1]!SPWS(Ticker,"xsga[-8Y]")</f>
        <v>2815.300048828125</v>
      </c>
      <c r="E11" s="6">
        <f>[1]!SPWS(Ticker,"xsga[-7Y]")</f>
        <v>3051.39990234375</v>
      </c>
      <c r="F11" s="6">
        <f>[1]!SPWS(Ticker,"xsga[-6Y]")</f>
        <v>3227</v>
      </c>
      <c r="G11" s="6">
        <f>[1]!SPWS(Ticker,"xsga[-5Y]")</f>
        <v>3390</v>
      </c>
      <c r="H11" s="6">
        <f>[1]!SPWS(Ticker,"xsga[-4Y]")</f>
        <v>3350</v>
      </c>
      <c r="I11" s="6">
        <f>[1]!SPWS(Ticker,"xsga[-3Y]")</f>
        <v>3249</v>
      </c>
      <c r="J11" s="6">
        <f>[1]!SPWS(Ticker,"xsga[-2Y]")</f>
        <v>3447</v>
      </c>
      <c r="K11" s="6">
        <f>[1]!SPWS(Ticker,"xsga[-1Y]")</f>
        <v>3786</v>
      </c>
      <c r="L11" s="6">
        <f>[1]!SPWS(Ticker,"xsga[0Y]")</f>
        <v>3165</v>
      </c>
    </row>
    <row r="12" spans="1:12" s="5" customFormat="1" x14ac:dyDescent="0.2">
      <c r="A12" s="3" t="s">
        <v>6</v>
      </c>
      <c r="B12" s="4">
        <f>[1]!SPWS(Ticker,"oibdp[-10Y]")</f>
        <v>1952.9000244140625</v>
      </c>
      <c r="C12" s="4">
        <f>[1]!SPWS(Ticker,"oibdp[-9Y]")</f>
        <v>2208.10009765625</v>
      </c>
      <c r="D12" s="4">
        <f>[1]!SPWS(Ticker,"oibdp[-8Y]")</f>
        <v>2232.10009765625</v>
      </c>
      <c r="E12" s="4">
        <f>[1]!SPWS(Ticker,"oibdp[-7Y]")</f>
        <v>2200.5</v>
      </c>
      <c r="F12" s="4">
        <f>[1]!SPWS(Ticker,"oibdp[-6Y]")</f>
        <v>2347</v>
      </c>
      <c r="G12" s="4">
        <f>[1]!SPWS(Ticker,"oibdp[-5Y]")</f>
        <v>2397</v>
      </c>
      <c r="H12" s="4">
        <f>[1]!SPWS(Ticker,"oibdp[-4Y]")</f>
        <v>2523</v>
      </c>
      <c r="I12" s="4">
        <f>[1]!SPWS(Ticker,"oibdp[-3Y]")</f>
        <v>2477</v>
      </c>
      <c r="J12" s="4">
        <f>[1]!SPWS(Ticker,"oibdp[-2Y]")</f>
        <v>2385</v>
      </c>
      <c r="K12" s="4">
        <f>[1]!SPWS(Ticker,"oibdp[-1Y]")</f>
        <v>2142</v>
      </c>
      <c r="L12" s="4">
        <f>[1]!SPWS(Ticker,"oibdp[0Y]")</f>
        <v>3685</v>
      </c>
    </row>
    <row r="13" spans="1:12" x14ac:dyDescent="0.2">
      <c r="A13" s="19" t="s">
        <v>7</v>
      </c>
      <c r="B13" s="6">
        <f>[1]!SPWS(Ticker,"dp[-10Y]")</f>
        <v>372.79998779296875</v>
      </c>
      <c r="C13" s="6">
        <f>[1]!SPWS(Ticker,"dp[-9Y]")</f>
        <v>402.10000610351562</v>
      </c>
      <c r="D13" s="6">
        <f>[1]!SPWS(Ticker,"dp[-8Y]")</f>
        <v>391.79998779296875</v>
      </c>
      <c r="E13" s="6">
        <f>[1]!SPWS(Ticker,"dp[-7Y]")</f>
        <v>352.70001220703125</v>
      </c>
      <c r="F13" s="6">
        <f>[1]!SPWS(Ticker,"dp[-6Y]")</f>
        <v>372</v>
      </c>
      <c r="G13" s="6">
        <f>[1]!SPWS(Ticker,"dp[-5Y]")</f>
        <v>375</v>
      </c>
      <c r="H13" s="6">
        <f>[1]!SPWS(Ticker,"dp[-4Y]")</f>
        <v>384</v>
      </c>
      <c r="I13" s="6">
        <f>[1]!SPWS(Ticker,"dp[-3Y]")</f>
        <v>392</v>
      </c>
      <c r="J13" s="6">
        <f>[1]!SPWS(Ticker,"dp[-2Y]")</f>
        <v>369</v>
      </c>
      <c r="K13" s="6">
        <f>[1]!SPWS(Ticker,"dp[-1Y]")</f>
        <v>448</v>
      </c>
      <c r="L13" s="6">
        <f>[1]!SPWS(Ticker,"dp[0Y]")</f>
        <v>532</v>
      </c>
    </row>
    <row r="14" spans="1:12" x14ac:dyDescent="0.2">
      <c r="A14" s="19" t="s">
        <v>8</v>
      </c>
      <c r="B14" s="6">
        <f>[1]!SPWS(Ticker,"OIADP[-10Y]")</f>
        <v>1580.0999755859375</v>
      </c>
      <c r="C14" s="6">
        <f>[1]!SPWS(Ticker,"OIADP[-9Y]")</f>
        <v>1806</v>
      </c>
      <c r="D14" s="6">
        <f>[1]!SPWS(Ticker,"OIADP[-8Y]")</f>
        <v>1840.300048828125</v>
      </c>
      <c r="E14" s="6">
        <f>[1]!SPWS(Ticker,"OIADP[-7Y]")</f>
        <v>1847.800048828125</v>
      </c>
      <c r="F14" s="6">
        <f>[1]!SPWS(Ticker,"OIADP[-6Y]")</f>
        <v>1975</v>
      </c>
      <c r="G14" s="6">
        <f>[1]!SPWS(Ticker,"OIADP[-5Y]")</f>
        <v>2022</v>
      </c>
      <c r="H14" s="6">
        <f>[1]!SPWS(Ticker,"OIADP[-4Y]")</f>
        <v>2139</v>
      </c>
      <c r="I14" s="6">
        <f>[1]!SPWS(Ticker,"OIADP[-3Y]")</f>
        <v>2085</v>
      </c>
      <c r="J14" s="6">
        <f>[1]!SPWS(Ticker,"OIADP[-2Y]")</f>
        <v>2016</v>
      </c>
      <c r="K14" s="6">
        <f>[1]!SPWS(Ticker,"OIADP[-1Y]")</f>
        <v>1694</v>
      </c>
      <c r="L14" s="6">
        <f>[1]!SPWS(Ticker,"OIADP[0Y]")</f>
        <v>3153</v>
      </c>
    </row>
    <row r="15" spans="1:12" x14ac:dyDescent="0.2">
      <c r="A15" s="19" t="s">
        <v>9</v>
      </c>
      <c r="B15" s="6">
        <f>[1]!SPWS(Ticker,"xint[-10Y]")</f>
        <v>371.39999389648437</v>
      </c>
      <c r="C15" s="6">
        <f>[1]!SPWS(Ticker,"xint[-9Y]")</f>
        <v>309.5</v>
      </c>
      <c r="D15" s="6">
        <f>[1]!SPWS(Ticker,"xint[-8Y]")</f>
        <v>287.5</v>
      </c>
      <c r="E15" s="6">
        <f>[1]!SPWS(Ticker,"xint[-7Y]")</f>
        <v>310.10000610351562</v>
      </c>
      <c r="F15" s="6">
        <f>[1]!SPWS(Ticker,"xint[-6Y]")</f>
        <v>324</v>
      </c>
      <c r="G15" s="6">
        <f>[1]!SPWS(Ticker,"xint[-5Y]")</f>
        <v>314</v>
      </c>
      <c r="H15" s="6">
        <f>[1]!SPWS(Ticker,"xint[-4Y]")</f>
        <v>263</v>
      </c>
      <c r="I15" s="6">
        <f>[1]!SPWS(Ticker,"xint[-3Y]")</f>
        <v>250</v>
      </c>
      <c r="J15" s="6">
        <f>[1]!SPWS(Ticker,"xint[-2Y]")</f>
        <v>238</v>
      </c>
      <c r="K15" s="6">
        <f>[1]!SPWS(Ticker,"xint[-1Y]")</f>
        <v>263</v>
      </c>
      <c r="L15" s="6">
        <f>[1]!SPWS(Ticker,"xint[0Y]")</f>
        <v>237</v>
      </c>
    </row>
    <row r="16" spans="1:12" x14ac:dyDescent="0.2">
      <c r="A16" s="19" t="s">
        <v>10</v>
      </c>
      <c r="B16" s="6">
        <f>[1]!SPWS(Ticker,"nopi[-10Y]")</f>
        <v>-20.399999618530273</v>
      </c>
      <c r="C16" s="6">
        <f>[1]!SPWS(Ticker,"nopi[-9Y]")</f>
        <v>-5.6999998092651367</v>
      </c>
      <c r="D16" s="6">
        <f>[1]!SPWS(Ticker,"nopi[-8Y]")</f>
        <v>-16.700000762939453</v>
      </c>
      <c r="E16" s="6">
        <f>[1]!SPWS(Ticker,"nopi[-7Y]")</f>
        <v>14.899999618530273</v>
      </c>
      <c r="F16" s="6">
        <f>[1]!SPWS(Ticker,"nopi[-6Y]")</f>
        <v>3</v>
      </c>
      <c r="G16" s="6">
        <f>[1]!SPWS(Ticker,"nopi[-5Y]")</f>
        <v>-6</v>
      </c>
      <c r="H16" s="6">
        <f>[1]!SPWS(Ticker,"nopi[-4Y]")</f>
        <v>-19</v>
      </c>
      <c r="I16" s="6">
        <f>[1]!SPWS(Ticker,"nopi[-3Y]")</f>
        <v>-6</v>
      </c>
      <c r="J16" s="6">
        <f>[1]!SPWS(Ticker,"nopi[-2Y]")</f>
        <v>-6</v>
      </c>
      <c r="K16" s="6">
        <f>[1]!SPWS(Ticker,"nopi[-1Y]")</f>
        <v>30</v>
      </c>
      <c r="L16" s="6">
        <f>[1]!SPWS(Ticker,"nopi[0Y]")</f>
        <v>0</v>
      </c>
    </row>
    <row r="17" spans="1:12" x14ac:dyDescent="0.2">
      <c r="A17" s="19" t="s">
        <v>11</v>
      </c>
      <c r="B17" s="6">
        <f>[1]!SPWS(Ticker,"spi[-10Y]")</f>
        <v>-18.799999237060547</v>
      </c>
      <c r="C17" s="6">
        <f>[1]!SPWS(Ticker,"spi[-9Y]")</f>
        <v>-124.90000152587891</v>
      </c>
      <c r="D17" s="6">
        <f>[1]!SPWS(Ticker,"spi[-8Y]")</f>
        <v>-111</v>
      </c>
      <c r="E17" s="6">
        <f>[1]!SPWS(Ticker,"spi[-7Y]")</f>
        <v>-82</v>
      </c>
      <c r="F17" s="6">
        <f>[1]!SPWS(Ticker,"spi[-6Y]")</f>
        <v>-107</v>
      </c>
      <c r="G17" s="6">
        <f>[1]!SPWS(Ticker,"spi[-5Y]")</f>
        <v>-69</v>
      </c>
      <c r="H17" s="6">
        <f>[1]!SPWS(Ticker,"spi[-4Y]")</f>
        <v>-173</v>
      </c>
      <c r="I17" s="6">
        <f>[1]!SPWS(Ticker,"spi[-3Y]")</f>
        <v>-87</v>
      </c>
      <c r="J17" s="6">
        <f>[1]!SPWS(Ticker,"spi[-2Y]")</f>
        <v>-40</v>
      </c>
      <c r="K17" s="6">
        <f>[1]!SPWS(Ticker,"spi[-1Y]")</f>
        <v>-137</v>
      </c>
      <c r="L17" s="6">
        <f>[1]!SPWS(Ticker,"spi[0Y]")</f>
        <v>-316</v>
      </c>
    </row>
    <row r="18" spans="1:12" x14ac:dyDescent="0.2">
      <c r="A18" s="19" t="s">
        <v>12</v>
      </c>
      <c r="B18" s="6">
        <f>[1]!SPWS(Ticker,"pi[-10Y]")</f>
        <v>1169.5</v>
      </c>
      <c r="C18" s="6">
        <f>[1]!SPWS(Ticker,"pi[-9Y]")</f>
        <v>1365.9000244140625</v>
      </c>
      <c r="D18" s="6">
        <f>[1]!SPWS(Ticker,"pi[-8Y]")</f>
        <v>1425.0999755859375</v>
      </c>
      <c r="E18" s="6">
        <f>[1]!SPWS(Ticker,"pi[-7Y]")</f>
        <v>1470.5999755859375</v>
      </c>
      <c r="F18" s="6">
        <f>[1]!SPWS(Ticker,"pi[-6Y]")</f>
        <v>1547</v>
      </c>
      <c r="G18" s="6">
        <f>[1]!SPWS(Ticker,"pi[-5Y]")</f>
        <v>1633</v>
      </c>
      <c r="H18" s="6">
        <f>[1]!SPWS(Ticker,"pi[-4Y]")</f>
        <v>1684</v>
      </c>
      <c r="I18" s="6">
        <f>[1]!SPWS(Ticker,"pi[-3Y]")</f>
        <v>1742</v>
      </c>
      <c r="J18" s="6">
        <f>[1]!SPWS(Ticker,"pi[-2Y]")</f>
        <v>1732</v>
      </c>
      <c r="K18" s="6">
        <f>[1]!SPWS(Ticker,"pi[-1Y]")</f>
        <v>1324</v>
      </c>
      <c r="L18" s="6">
        <f>[1]!SPWS(Ticker,"pi[0Y]")</f>
        <v>2600</v>
      </c>
    </row>
    <row r="19" spans="1:12" x14ac:dyDescent="0.2">
      <c r="A19" s="19" t="s">
        <v>13</v>
      </c>
      <c r="B19" s="6">
        <f>[1]!SPWS(Ticker,"txt[-10Y]")</f>
        <v>382.39999389648437</v>
      </c>
      <c r="C19" s="6">
        <f>[1]!SPWS(Ticker,"txt[-9Y]")</f>
        <v>475.29998779296875</v>
      </c>
      <c r="D19" s="6">
        <f>[1]!SPWS(Ticker,"txt[-8Y]")</f>
        <v>444.70001220703125</v>
      </c>
      <c r="E19" s="6">
        <f>[1]!SPWS(Ticker,"txt[-7Y]")</f>
        <v>466.5</v>
      </c>
      <c r="F19" s="6">
        <f>[1]!SPWS(Ticker,"txt[-6Y]")</f>
        <v>444</v>
      </c>
      <c r="G19" s="6">
        <f>[1]!SPWS(Ticker,"txt[-5Y]")</f>
        <v>485</v>
      </c>
      <c r="H19" s="6">
        <f>[1]!SPWS(Ticker,"txt[-4Y]")</f>
        <v>476</v>
      </c>
      <c r="I19" s="6">
        <f>[1]!SPWS(Ticker,"txt[-3Y]")</f>
        <v>502</v>
      </c>
      <c r="J19" s="6">
        <f>[1]!SPWS(Ticker,"txt[-2Y]")</f>
        <v>503</v>
      </c>
      <c r="K19" s="6">
        <f>[1]!SPWS(Ticker,"txt[-1Y]")</f>
        <v>363</v>
      </c>
      <c r="L19" s="6">
        <f>[1]!SPWS(Ticker,"txt[0Y]")</f>
        <v>792</v>
      </c>
    </row>
    <row r="20" spans="1:12" x14ac:dyDescent="0.2">
      <c r="A20" s="19" t="s">
        <v>14</v>
      </c>
      <c r="B20" s="6">
        <f>[1]!SPWS(Ticker,"IB[-10Y]")</f>
        <v>787.0999755859375</v>
      </c>
      <c r="C20" s="6">
        <f>[1]!SPWS(Ticker,"IB[-9Y]")</f>
        <v>890.5999755859375</v>
      </c>
      <c r="D20" s="6">
        <f>[1]!SPWS(Ticker,"IB[-8Y]")</f>
        <v>980.4000244140625</v>
      </c>
      <c r="E20" s="6">
        <f>[1]!SPWS(Ticker,"IB[-7Y]")</f>
        <v>1004.0999755859375</v>
      </c>
      <c r="F20" s="6">
        <f>[1]!SPWS(Ticker,"IB[-6Y]")</f>
        <v>1103</v>
      </c>
      <c r="G20" s="6">
        <f>[1]!SPWS(Ticker,"IB[-5Y]")</f>
        <v>1148</v>
      </c>
      <c r="H20" s="6">
        <f>[1]!SPWS(Ticker,"IB[-4Y]")</f>
        <v>1212</v>
      </c>
      <c r="I20" s="6">
        <f>[1]!SPWS(Ticker,"IB[-3Y]")</f>
        <v>1247</v>
      </c>
      <c r="J20" s="6">
        <f>[1]!SPWS(Ticker,"IB[-2Y]")</f>
        <v>1231</v>
      </c>
      <c r="K20" s="6">
        <f>[1]!SPWS(Ticker,"IB[-1Y]")</f>
        <v>961</v>
      </c>
      <c r="L20" s="6">
        <f>[1]!SPWS(Ticker,"IB[0Y]")</f>
        <v>1807</v>
      </c>
    </row>
    <row r="21" spans="1:12" x14ac:dyDescent="0.2">
      <c r="A21" s="19" t="s">
        <v>15</v>
      </c>
      <c r="B21" s="6">
        <f>[1]!SPWS(Ticker,"dvp[-10Y]")</f>
        <v>0</v>
      </c>
      <c r="C21" s="6">
        <f>[1]!SPWS(Ticker,"dvp[-9Y]")</f>
        <v>0</v>
      </c>
      <c r="D21" s="6">
        <f>[1]!SPWS(Ticker,"dvp[-8Y]")</f>
        <v>0</v>
      </c>
      <c r="E21" s="6">
        <f>[1]!SPWS(Ticker,"dvp[-7Y]")</f>
        <v>0</v>
      </c>
      <c r="F21" s="6">
        <f>[1]!SPWS(Ticker,"dvp[-6Y]")</f>
        <v>0</v>
      </c>
      <c r="G21" s="6">
        <f>[1]!SPWS(Ticker,"dvp[-5Y]")</f>
        <v>0</v>
      </c>
      <c r="H21" s="6">
        <f>[1]!SPWS(Ticker,"dvp[-4Y]")</f>
        <v>0</v>
      </c>
      <c r="I21" s="6">
        <f>[1]!SPWS(Ticker,"dvp[-3Y]")</f>
        <v>0</v>
      </c>
      <c r="J21" s="6">
        <f>[1]!SPWS(Ticker,"dvp[-2Y]")</f>
        <v>0</v>
      </c>
      <c r="K21" s="6">
        <f>[1]!SPWS(Ticker,"dvp[-1Y]")</f>
        <v>0</v>
      </c>
      <c r="L21" s="6">
        <f>[1]!SPWS(Ticker,"dvp[0Y]")</f>
        <v>0</v>
      </c>
    </row>
    <row r="22" spans="1:12" x14ac:dyDescent="0.2">
      <c r="A22" s="19" t="s">
        <v>16</v>
      </c>
      <c r="B22" s="6">
        <f>[1]!SPWS(Ticker,"do[-10Y]")</f>
        <v>0</v>
      </c>
      <c r="C22" s="6">
        <f>[1]!SPWS(Ticker,"do[-9Y]")</f>
        <v>0</v>
      </c>
      <c r="D22" s="6">
        <f>[1]!SPWS(Ticker,"do[-8Y]")</f>
        <v>0</v>
      </c>
      <c r="E22" s="6">
        <f>[1]!SPWS(Ticker,"do[-7Y]")</f>
        <v>0</v>
      </c>
      <c r="F22" s="6">
        <f>[1]!SPWS(Ticker,"do[-6Y]")</f>
        <v>0</v>
      </c>
      <c r="G22" s="6">
        <f>[1]!SPWS(Ticker,"do[-5Y]")</f>
        <v>0</v>
      </c>
      <c r="H22" s="6">
        <f>[1]!SPWS(Ticker,"do[-4Y]")</f>
        <v>0</v>
      </c>
      <c r="I22" s="6">
        <f>[1]!SPWS(Ticker,"do[-3Y]")</f>
        <v>0</v>
      </c>
      <c r="J22" s="6">
        <f>[1]!SPWS(Ticker,"do[-2Y]")</f>
        <v>0</v>
      </c>
      <c r="K22" s="6">
        <f>[1]!SPWS(Ticker,"do[-1Y]")</f>
        <v>0</v>
      </c>
      <c r="L22" s="6">
        <f>[1]!SPWS(Ticker,"do[0Y]")</f>
        <v>0</v>
      </c>
    </row>
    <row r="23" spans="1:12" x14ac:dyDescent="0.2">
      <c r="A23" s="19" t="s">
        <v>17</v>
      </c>
      <c r="B23" s="6">
        <f>[1]!SPWS(Ticker,"xi[-10Y]")</f>
        <v>0</v>
      </c>
      <c r="C23" s="6">
        <f>[1]!SPWS(Ticker,"xi[-9Y]")</f>
        <v>0</v>
      </c>
      <c r="D23" s="6">
        <f>[1]!SPWS(Ticker,"xi[-8Y]")</f>
        <v>0</v>
      </c>
      <c r="E23" s="6">
        <f>[1]!SPWS(Ticker,"xi[-7Y]")</f>
        <v>0</v>
      </c>
      <c r="F23" s="6">
        <f>[1]!SPWS(Ticker,"xi[-6Y]")</f>
        <v>0</v>
      </c>
      <c r="G23" s="6">
        <f>[1]!SPWS(Ticker,"xi[-5Y]")</f>
        <v>0</v>
      </c>
      <c r="H23" s="6">
        <f>[1]!SPWS(Ticker,"xi[-4Y]")</f>
        <v>0</v>
      </c>
      <c r="I23" s="6">
        <f>[1]!SPWS(Ticker,"xi[-3Y]")</f>
        <v>0</v>
      </c>
      <c r="J23" s="6">
        <f>[1]!SPWS(Ticker,"xi[-2Y]")</f>
        <v>0</v>
      </c>
      <c r="K23" s="6">
        <f>[1]!SPWS(Ticker,"xi[-1Y]")</f>
        <v>0</v>
      </c>
      <c r="L23" s="6">
        <f>[1]!SPWS(Ticker,"xi[0Y]")</f>
        <v>0</v>
      </c>
    </row>
    <row r="24" spans="1:12" s="5" customFormat="1" x14ac:dyDescent="0.2">
      <c r="A24" s="3" t="s">
        <v>18</v>
      </c>
      <c r="B24" s="4">
        <f>[1]!SPWS(Ticker,"NI[-10Y]")</f>
        <v>787.0999755859375</v>
      </c>
      <c r="C24" s="4">
        <f>[1]!SPWS(Ticker,"NI[-9Y]")</f>
        <v>890.5999755859375</v>
      </c>
      <c r="D24" s="4">
        <f>[1]!SPWS(Ticker,"NI[-8Y]")</f>
        <v>980.4000244140625</v>
      </c>
      <c r="E24" s="4">
        <f>[1]!SPWS(Ticker,"NI[-7Y]")</f>
        <v>1004.0999755859375</v>
      </c>
      <c r="F24" s="4">
        <f>[1]!SPWS(Ticker,"NI[-6Y]")</f>
        <v>1103</v>
      </c>
      <c r="G24" s="4">
        <f>[1]!SPWS(Ticker,"NI[-5Y]")</f>
        <v>1148</v>
      </c>
      <c r="H24" s="4">
        <f>[1]!SPWS(Ticker,"NI[-4Y]")</f>
        <v>1212</v>
      </c>
      <c r="I24" s="4">
        <f>[1]!SPWS(Ticker,"NI[-3Y]")</f>
        <v>1247</v>
      </c>
      <c r="J24" s="4">
        <f>[1]!SPWS(Ticker,"NI[-2Y]")</f>
        <v>1231</v>
      </c>
      <c r="K24" s="4">
        <f>[1]!SPWS(Ticker,"NI[-1Y]")</f>
        <v>961</v>
      </c>
      <c r="L24" s="4">
        <f>[1]!SPWS(Ticker,"NI[0Y]")</f>
        <v>1807</v>
      </c>
    </row>
    <row r="25" spans="1:12" s="5" customFormat="1" x14ac:dyDescent="0.2"/>
    <row r="26" spans="1:12" s="2" customFormat="1" x14ac:dyDescent="0.2">
      <c r="A26" s="8" t="s">
        <v>46</v>
      </c>
      <c r="B26" s="18" t="str">
        <f>[1]!SPWS(Ticker,"@MNT(-10Y)")</f>
        <v>Dec03</v>
      </c>
      <c r="C26" s="18" t="str">
        <f>[1]!SPWS(Ticker,"@MNT(-9Y)")</f>
        <v>Dec04</v>
      </c>
      <c r="D26" s="18" t="str">
        <f>[1]!SPWS(Ticker,"@MNT(-8Y)")</f>
        <v>Dec05</v>
      </c>
      <c r="E26" s="18" t="str">
        <f>[1]!SPWS(Ticker,"@MNT(-7Y)")</f>
        <v>Dec06</v>
      </c>
      <c r="F26" s="18" t="str">
        <f>[1]!SPWS(Ticker,"@MNT(-6Y)")</f>
        <v>Dec07</v>
      </c>
      <c r="G26" s="18" t="str">
        <f>[1]!SPWS(Ticker,"@MNT(-5Y)")</f>
        <v>Dec08</v>
      </c>
      <c r="H26" s="18" t="str">
        <f>[1]!SPWS(Ticker,"@MNT(-4Y)")</f>
        <v>Dec09</v>
      </c>
      <c r="I26" s="18" t="str">
        <f>[1]!SPWS(Ticker,"@MNT(-3Y)")</f>
        <v>Dec10</v>
      </c>
      <c r="J26" s="18" t="str">
        <f>[1]!SPWS(Ticker,"@MNT(-2Y)")</f>
        <v>Dec11</v>
      </c>
      <c r="K26" s="18" t="str">
        <f>[1]!SPWS(Ticker,"@MNT(-1Y)")</f>
        <v>Dec12</v>
      </c>
      <c r="L26" s="18" t="str">
        <f>[1]!SPWS(Ticker,"@MNT(0Y)")</f>
        <v>Dec13</v>
      </c>
    </row>
    <row r="27" spans="1:12" x14ac:dyDescent="0.2">
      <c r="A27" s="19" t="s">
        <v>19</v>
      </c>
      <c r="B27" s="6">
        <f>[1]!SPWS(Ticker,"che[-10Y]")</f>
        <v>141.19999694824219</v>
      </c>
      <c r="C27" s="6">
        <f>[1]!SPWS(Ticker,"che[-9Y]")</f>
        <v>417.39999389648437</v>
      </c>
      <c r="D27" s="6">
        <f>[1]!SPWS(Ticker,"che[-8Y]")</f>
        <v>219.10000610351562</v>
      </c>
      <c r="E27" s="6">
        <f>[1]!SPWS(Ticker,"che[-7Y]")</f>
        <v>410.60000610351562</v>
      </c>
      <c r="F27" s="6">
        <f>[1]!SPWS(Ticker,"che[-6Y]")</f>
        <v>524</v>
      </c>
      <c r="G27" s="6">
        <f>[1]!SPWS(Ticker,"che[-5Y]")</f>
        <v>255</v>
      </c>
      <c r="H27" s="6">
        <f>[1]!SPWS(Ticker,"che[-4Y]")</f>
        <v>334</v>
      </c>
      <c r="I27" s="6">
        <f>[1]!SPWS(Ticker,"che[-3Y]")</f>
        <v>444</v>
      </c>
      <c r="J27" s="6">
        <f>[1]!SPWS(Ticker,"che[-2Y]")</f>
        <v>460</v>
      </c>
      <c r="K27" s="6">
        <f>[1]!SPWS(Ticker,"che[-1Y]")</f>
        <v>281</v>
      </c>
      <c r="L27" s="6">
        <f>[1]!SPWS(Ticker,"che[0Y]")</f>
        <v>273</v>
      </c>
    </row>
    <row r="28" spans="1:12" x14ac:dyDescent="0.2">
      <c r="A28" s="19" t="s">
        <v>20</v>
      </c>
      <c r="B28" s="6">
        <f>[1]!SPWS(Ticker,"rect[-10Y]")</f>
        <v>754.79998779296875</v>
      </c>
      <c r="C28" s="6">
        <f>[1]!SPWS(Ticker,"rect[-9Y]")</f>
        <v>776.4000244140625</v>
      </c>
      <c r="D28" s="6">
        <f>[1]!SPWS(Ticker,"rect[-8Y]")</f>
        <v>879.0999755859375</v>
      </c>
      <c r="E28" s="6">
        <f>[1]!SPWS(Ticker,"rect[-7Y]")</f>
        <v>944.79998779296875</v>
      </c>
      <c r="F28" s="6">
        <f>[1]!SPWS(Ticker,"rect[-6Y]")</f>
        <v>1026</v>
      </c>
      <c r="G28" s="6">
        <f>[1]!SPWS(Ticker,"rect[-5Y]")</f>
        <v>1143</v>
      </c>
      <c r="H28" s="6">
        <f>[1]!SPWS(Ticker,"rect[-4Y]")</f>
        <v>1093</v>
      </c>
      <c r="I28" s="6">
        <f>[1]!SPWS(Ticker,"rect[-3Y]")</f>
        <v>1190</v>
      </c>
      <c r="J28" s="6">
        <f>[1]!SPWS(Ticker,"rect[-2Y]")</f>
        <v>1188</v>
      </c>
      <c r="K28" s="6">
        <f>[1]!SPWS(Ticker,"rect[-1Y]")</f>
        <v>1454</v>
      </c>
      <c r="L28" s="6">
        <f>[1]!SPWS(Ticker,"rect[0Y]")</f>
        <v>1424</v>
      </c>
    </row>
    <row r="29" spans="1:12" x14ac:dyDescent="0.2">
      <c r="A29" s="19" t="s">
        <v>21</v>
      </c>
      <c r="B29" s="6">
        <f>[1]!SPWS(Ticker,"recdr[-10Y]")</f>
        <v>1.9612937541763509</v>
      </c>
      <c r="C29" s="6">
        <f>[1]!SPWS(Ticker,"recdr[-9Y]")</f>
        <v>1.6468203189693764</v>
      </c>
      <c r="D29" s="6">
        <f>[1]!SPWS(Ticker,"recdr[-8Y]")</f>
        <v>0.77878107051431433</v>
      </c>
      <c r="E29" s="6">
        <f>[1]!SPWS(Ticker,"recdr[-7Y]")</f>
        <v>0.62059536873165633</v>
      </c>
      <c r="F29" s="6">
        <f>[1]!SPWS(Ticker,"recdr[-6Y]")</f>
        <v>0.48496605237633372</v>
      </c>
      <c r="G29" s="6">
        <f>[1]!SPWS(Ticker,"recdr[-5Y]")</f>
        <v>0.86730268863833471</v>
      </c>
      <c r="H29" s="6">
        <f>[1]!SPWS(Ticker,"recdr[-4Y]")</f>
        <v>0.8166969147005444</v>
      </c>
      <c r="I29" s="6">
        <f>[1]!SPWS(Ticker,"recdr[-3Y]")</f>
        <v>0.83333333333333337</v>
      </c>
      <c r="J29" s="6">
        <f>[1]!SPWS(Ticker,"recdr[-2Y]")</f>
        <v>0.66889632107023411</v>
      </c>
      <c r="K29" s="6">
        <f>[1]!SPWS(Ticker,"recdr[-1Y]")</f>
        <v>0.41095890410958902</v>
      </c>
      <c r="L29" s="6">
        <f>[1]!SPWS(Ticker,"recdr[0Y]")</f>
        <v>0.34989503149055284</v>
      </c>
    </row>
    <row r="30" spans="1:12" x14ac:dyDescent="0.2">
      <c r="A30" s="19" t="s">
        <v>22</v>
      </c>
      <c r="B30" s="6">
        <f>[1]!SPWS(Ticker,"invt[-10Y]")</f>
        <v>649.79998779296875</v>
      </c>
      <c r="C30" s="6">
        <f>[1]!SPWS(Ticker,"invt[-9Y]")</f>
        <v>681</v>
      </c>
      <c r="D30" s="6">
        <f>[1]!SPWS(Ticker,"invt[-8Y]")</f>
        <v>717</v>
      </c>
      <c r="E30" s="6">
        <f>[1]!SPWS(Ticker,"invt[-7Y]")</f>
        <v>823.9000244140625</v>
      </c>
      <c r="F30" s="6">
        <f>[1]!SPWS(Ticker,"invt[-6Y]")</f>
        <v>924</v>
      </c>
      <c r="G30" s="6">
        <f>[1]!SPWS(Ticker,"invt[-5Y]")</f>
        <v>897</v>
      </c>
      <c r="H30" s="6">
        <f>[1]!SPWS(Ticker,"invt[-4Y]")</f>
        <v>910</v>
      </c>
      <c r="I30" s="6">
        <f>[1]!SPWS(Ticker,"invt[-3Y]")</f>
        <v>1056</v>
      </c>
      <c r="J30" s="6">
        <f>[1]!SPWS(Ticker,"invt[-2Y]")</f>
        <v>1132</v>
      </c>
      <c r="K30" s="6">
        <f>[1]!SPWS(Ticker,"invt[-1Y]")</f>
        <v>1365</v>
      </c>
      <c r="L30" s="6">
        <f>[1]!SPWS(Ticker,"invt[0Y]")</f>
        <v>1248</v>
      </c>
    </row>
    <row r="31" spans="1:12" s="5" customFormat="1" x14ac:dyDescent="0.2">
      <c r="A31" s="3" t="s">
        <v>23</v>
      </c>
      <c r="B31" s="4">
        <f>[1]!SPWS(Ticker,"act[-10Y]")</f>
        <v>1797.199951171875</v>
      </c>
      <c r="C31" s="4">
        <f>[1]!SPWS(Ticker,"act[-9Y]")</f>
        <v>2121.800048828125</v>
      </c>
      <c r="D31" s="4">
        <f>[1]!SPWS(Ticker,"act[-8Y]")</f>
        <v>2196.5</v>
      </c>
      <c r="E31" s="4">
        <f>[1]!SPWS(Ticker,"act[-7Y]")</f>
        <v>2427</v>
      </c>
      <c r="F31" s="4">
        <f>[1]!SPWS(Ticker,"act[-6Y]")</f>
        <v>2717</v>
      </c>
      <c r="G31" s="4">
        <f>[1]!SPWS(Ticker,"act[-5Y]")</f>
        <v>2521</v>
      </c>
      <c r="H31" s="4">
        <f>[1]!SPWS(Ticker,"act[-4Y]")</f>
        <v>2558</v>
      </c>
      <c r="I31" s="4">
        <f>[1]!SPWS(Ticker,"act[-3Y]")</f>
        <v>2915</v>
      </c>
      <c r="J31" s="4">
        <f>[1]!SPWS(Ticker,"act[-2Y]")</f>
        <v>3027</v>
      </c>
      <c r="K31" s="4">
        <f>[1]!SPWS(Ticker,"act[-1Y]")</f>
        <v>3380</v>
      </c>
      <c r="L31" s="4">
        <f>[1]!SPWS(Ticker,"act[0Y]")</f>
        <v>3267</v>
      </c>
    </row>
    <row r="32" spans="1:12" x14ac:dyDescent="0.2">
      <c r="A32" s="19" t="s">
        <v>24</v>
      </c>
      <c r="B32" s="6">
        <f>[1]!SPWS(Ticker,"ppent[-10Y]")</f>
        <v>2780.199951171875</v>
      </c>
      <c r="C32" s="6">
        <f>[1]!SPWS(Ticker,"ppent[-9Y]")</f>
        <v>2715.10009765625</v>
      </c>
      <c r="D32" s="6">
        <f>[1]!SPWS(Ticker,"ppent[-8Y]")</f>
        <v>2648.39990234375</v>
      </c>
      <c r="E32" s="6">
        <f>[1]!SPWS(Ticker,"ppent[-7Y]")</f>
        <v>2815.60009765625</v>
      </c>
      <c r="F32" s="6">
        <f>[1]!SPWS(Ticker,"ppent[-6Y]")</f>
        <v>2990</v>
      </c>
      <c r="G32" s="6">
        <f>[1]!SPWS(Ticker,"ppent[-5Y]")</f>
        <v>2933</v>
      </c>
      <c r="H32" s="6">
        <f>[1]!SPWS(Ticker,"ppent[-4Y]")</f>
        <v>3010</v>
      </c>
      <c r="I32" s="6">
        <f>[1]!SPWS(Ticker,"ppent[-3Y]")</f>
        <v>3128</v>
      </c>
      <c r="J32" s="6">
        <f>[1]!SPWS(Ticker,"ppent[-2Y]")</f>
        <v>3281</v>
      </c>
      <c r="K32" s="6">
        <f>[1]!SPWS(Ticker,"ppent[-1Y]")</f>
        <v>3782</v>
      </c>
      <c r="L32" s="6">
        <f>[1]!SPWS(Ticker,"ppent[0Y]")</f>
        <v>3856</v>
      </c>
    </row>
    <row r="33" spans="1:12" x14ac:dyDescent="0.2">
      <c r="A33" s="19" t="s">
        <v>25</v>
      </c>
      <c r="B33" s="6">
        <f>[1]!SPWS(Ticker,"intan[-10Y]")</f>
        <v>5132.7998046875</v>
      </c>
      <c r="C33" s="6">
        <f>[1]!SPWS(Ticker,"intan[-9Y]")</f>
        <v>5116.2001953125</v>
      </c>
      <c r="D33" s="6">
        <f>[1]!SPWS(Ticker,"intan[-8Y]")</f>
        <v>4893.5</v>
      </c>
      <c r="E33" s="6">
        <f>[1]!SPWS(Ticker,"intan[-7Y]")</f>
        <v>4868</v>
      </c>
      <c r="F33" s="6">
        <f>[1]!SPWS(Ticker,"intan[-6Y]")</f>
        <v>4965</v>
      </c>
      <c r="G33" s="6">
        <f>[1]!SPWS(Ticker,"intan[-5Y]")</f>
        <v>5098</v>
      </c>
      <c r="H33" s="6">
        <f>[1]!SPWS(Ticker,"intan[-4Y]")</f>
        <v>5101</v>
      </c>
      <c r="I33" s="6">
        <f>[1]!SPWS(Ticker,"intan[-3Y]")</f>
        <v>5084</v>
      </c>
      <c r="J33" s="6">
        <f>[1]!SPWS(Ticker,"intan[-2Y]")</f>
        <v>5077</v>
      </c>
      <c r="K33" s="6">
        <f>[1]!SPWS(Ticker,"intan[-1Y]")</f>
        <v>7412</v>
      </c>
      <c r="L33" s="6">
        <f>[1]!SPWS(Ticker,"intan[0Y]")</f>
        <v>7418</v>
      </c>
    </row>
    <row r="34" spans="1:12" x14ac:dyDescent="0.2">
      <c r="A34" s="19" t="s">
        <v>26</v>
      </c>
      <c r="B34" s="6">
        <f>[1]!SPWS(Ticker,"dc[-10Y]")</f>
        <v>0</v>
      </c>
      <c r="C34" s="6">
        <f>[1]!SPWS(Ticker,"dc[-9Y]")</f>
        <v>0</v>
      </c>
      <c r="D34" s="6">
        <f>[1]!SPWS(Ticker,"dc[-8Y]")</f>
        <v>0</v>
      </c>
      <c r="E34" s="6">
        <f>[1]!SPWS(Ticker,"dc[-7Y]")</f>
        <v>0</v>
      </c>
      <c r="F34" s="6">
        <f>[1]!SPWS(Ticker,"dc[-6Y]")</f>
        <v>0</v>
      </c>
      <c r="G34" s="6">
        <f>[1]!SPWS(Ticker,"dc[-5Y]")</f>
        <v>0</v>
      </c>
      <c r="H34" s="6">
        <f>[1]!SPWS(Ticker,"dc[-4Y]")</f>
        <v>0</v>
      </c>
      <c r="I34" s="6">
        <f>[1]!SPWS(Ticker,"dc[-3Y]")</f>
        <v>0</v>
      </c>
      <c r="J34" s="6">
        <f>[1]!SPWS(Ticker,"dc[-2Y]")</f>
        <v>0</v>
      </c>
      <c r="K34" s="6">
        <f>[1]!SPWS(Ticker,"dc[-1Y]")</f>
        <v>0</v>
      </c>
      <c r="L34" s="6">
        <f>[1]!SPWS(Ticker,"dc[0Y]")</f>
        <v>0</v>
      </c>
    </row>
    <row r="35" spans="1:12" x14ac:dyDescent="0.2">
      <c r="A35" s="19" t="s">
        <v>27</v>
      </c>
      <c r="B35" s="6">
        <f>[1]!SPWS(Ticker,"ivaeq[-10Y]")</f>
        <v>0</v>
      </c>
      <c r="C35" s="6">
        <f>[1]!SPWS(Ticker,"ivaeq[-9Y]")</f>
        <v>0</v>
      </c>
      <c r="D35" s="6">
        <f>[1]!SPWS(Ticker,"ivaeq[-8Y]")</f>
        <v>0</v>
      </c>
      <c r="E35" s="6" t="str">
        <f>[1]!SPWS(Ticker,"ivaeq[-7Y]")</f>
        <v>@CF</v>
      </c>
      <c r="F35" s="6">
        <f>[1]!SPWS(Ticker,"ivaeq[-6Y]")</f>
        <v>7</v>
      </c>
      <c r="G35" s="6">
        <f>[1]!SPWS(Ticker,"ivaeq[-5Y]")</f>
        <v>6</v>
      </c>
      <c r="H35" s="6">
        <f>[1]!SPWS(Ticker,"ivaeq[-4Y]")</f>
        <v>0</v>
      </c>
      <c r="I35" s="6">
        <f>[1]!SPWS(Ticker,"ivaeq[-3Y]")</f>
        <v>0</v>
      </c>
      <c r="J35" s="6">
        <f>[1]!SPWS(Ticker,"ivaeq[-2Y]")</f>
        <v>0</v>
      </c>
      <c r="K35" s="6" t="str">
        <f>[1]!SPWS(Ticker,"ivaeq[-1Y]")</f>
        <v>@CF</v>
      </c>
      <c r="L35" s="6" t="str">
        <f>[1]!SPWS(Ticker,"ivaeq[0Y]")</f>
        <v>@CF</v>
      </c>
    </row>
    <row r="36" spans="1:12" x14ac:dyDescent="0.2">
      <c r="A36" s="19" t="s">
        <v>28</v>
      </c>
      <c r="B36" s="6">
        <f>[1]!SPWS(Ticker,"ivao[-10Y]")</f>
        <v>0</v>
      </c>
      <c r="C36" s="6">
        <f>[1]!SPWS(Ticker,"ivao[-9Y]")</f>
        <v>0</v>
      </c>
      <c r="D36" s="6">
        <f>[1]!SPWS(Ticker,"ivao[-8Y]")</f>
        <v>0</v>
      </c>
      <c r="E36" s="6">
        <f>[1]!SPWS(Ticker,"ivao[-7Y]")</f>
        <v>0</v>
      </c>
      <c r="F36" s="6">
        <f>[1]!SPWS(Ticker,"ivao[-6Y]")</f>
        <v>0</v>
      </c>
      <c r="G36" s="6">
        <f>[1]!SPWS(Ticker,"ivao[-5Y]")</f>
        <v>0</v>
      </c>
      <c r="H36" s="6">
        <f>[1]!SPWS(Ticker,"ivao[-4Y]")</f>
        <v>0</v>
      </c>
      <c r="I36" s="6">
        <f>[1]!SPWS(Ticker,"ivao[-3Y]")</f>
        <v>0</v>
      </c>
      <c r="J36" s="6">
        <f>[1]!SPWS(Ticker,"ivao[-2Y]")</f>
        <v>0</v>
      </c>
      <c r="K36" s="6">
        <f>[1]!SPWS(Ticker,"ivao[-1Y]")</f>
        <v>0</v>
      </c>
      <c r="L36" s="6">
        <f>[1]!SPWS(Ticker,"ivao[0Y]")</f>
        <v>0</v>
      </c>
    </row>
    <row r="37" spans="1:12" s="5" customFormat="1" x14ac:dyDescent="0.2">
      <c r="A37" s="3" t="s">
        <v>29</v>
      </c>
      <c r="B37" s="4">
        <f>[1]!SPWS(Ticker,"at[-10Y]")</f>
        <v>10230.7998046875</v>
      </c>
      <c r="C37" s="4">
        <f>[1]!SPWS(Ticker,"at[-9Y]")</f>
        <v>10790.400390625</v>
      </c>
      <c r="D37" s="4">
        <f>[1]!SPWS(Ticker,"at[-8Y]")</f>
        <v>10574.5</v>
      </c>
      <c r="E37" s="4">
        <f>[1]!SPWS(Ticker,"at[-7Y]")</f>
        <v>10714</v>
      </c>
      <c r="F37" s="4">
        <f>[1]!SPWS(Ticker,"at[-6Y]")</f>
        <v>11397</v>
      </c>
      <c r="G37" s="4">
        <f>[1]!SPWS(Ticker,"at[-5Y]")</f>
        <v>10946</v>
      </c>
      <c r="H37" s="4">
        <f>[1]!SPWS(Ticker,"at[-4Y]")</f>
        <v>11200</v>
      </c>
      <c r="I37" s="4">
        <f>[1]!SPWS(Ticker,"at[-3Y]")</f>
        <v>11847</v>
      </c>
      <c r="J37" s="4">
        <f>[1]!SPWS(Ticker,"at[-2Y]")</f>
        <v>11901</v>
      </c>
      <c r="K37" s="4">
        <f>[1]!SPWS(Ticker,"at[-1Y]")</f>
        <v>15184</v>
      </c>
      <c r="L37" s="4">
        <f>[1]!SPWS(Ticker,"at[0Y]")</f>
        <v>15474</v>
      </c>
    </row>
    <row r="38" spans="1:12" x14ac:dyDescent="0.2">
      <c r="A38" s="19" t="s">
        <v>30</v>
      </c>
      <c r="B38" s="6">
        <f>[1]!SPWS(Ticker,"dd1[-10Y]")</f>
        <v>578.0999755859375</v>
      </c>
      <c r="C38" s="6">
        <f>[1]!SPWS(Ticker,"dd1[-9Y]")</f>
        <v>278.60000610351562</v>
      </c>
      <c r="D38" s="6">
        <f>[1]!SPWS(Ticker,"dd1[-8Y]")</f>
        <v>85.5</v>
      </c>
      <c r="E38" s="6">
        <f>[1]!SPWS(Ticker,"dd1[-7Y]")</f>
        <v>725.4000244140625</v>
      </c>
      <c r="F38" s="6">
        <f>[1]!SPWS(Ticker,"dd1[-6Y]")</f>
        <v>467</v>
      </c>
      <c r="G38" s="6">
        <f>[1]!SPWS(Ticker,"dd1[-5Y]")</f>
        <v>2</v>
      </c>
      <c r="H38" s="6">
        <f>[1]!SPWS(Ticker,"dd1[-4Y]")</f>
        <v>3</v>
      </c>
      <c r="I38" s="6">
        <f>[1]!SPWS(Ticker,"dd1[-3Y]")</f>
        <v>953</v>
      </c>
      <c r="J38" s="6">
        <f>[1]!SPWS(Ticker,"dd1[-2Y]")</f>
        <v>762</v>
      </c>
      <c r="K38" s="6">
        <f>[1]!SPWS(Ticker,"dd1[-1Y]")</f>
        <v>757</v>
      </c>
      <c r="L38" s="6">
        <f>[1]!SPWS(Ticker,"dd1[0Y]")</f>
        <v>290</v>
      </c>
    </row>
    <row r="39" spans="1:12" x14ac:dyDescent="0.2">
      <c r="A39" s="19" t="s">
        <v>31</v>
      </c>
      <c r="B39" s="6">
        <f>[1]!SPWS(Ticker,"np[-10Y]")</f>
        <v>320.79998779296875</v>
      </c>
      <c r="C39" s="6">
        <f>[1]!SPWS(Ticker,"np[-9Y]")</f>
        <v>709.70001220703125</v>
      </c>
      <c r="D39" s="6">
        <f>[1]!SPWS(Ticker,"np[-8Y]")</f>
        <v>1111.0999755859375</v>
      </c>
      <c r="E39" s="6">
        <f>[1]!SPWS(Ticker,"np[-7Y]")</f>
        <v>1268</v>
      </c>
      <c r="F39" s="6">
        <f>[1]!SPWS(Ticker,"np[-6Y]")</f>
        <v>1489</v>
      </c>
      <c r="G39" s="6">
        <f>[1]!SPWS(Ticker,"np[-5Y]")</f>
        <v>1387</v>
      </c>
      <c r="H39" s="6">
        <f>[1]!SPWS(Ticker,"np[-4Y]")</f>
        <v>44</v>
      </c>
      <c r="I39" s="6">
        <f>[1]!SPWS(Ticker,"np[-3Y]")</f>
        <v>44</v>
      </c>
      <c r="J39" s="6">
        <f>[1]!SPWS(Ticker,"np[-2Y]")</f>
        <v>234</v>
      </c>
      <c r="K39" s="6">
        <f>[1]!SPWS(Ticker,"np[-1Y]")</f>
        <v>1065</v>
      </c>
      <c r="L39" s="6">
        <f>[1]!SPWS(Ticker,"np[0Y]")</f>
        <v>739</v>
      </c>
    </row>
    <row r="40" spans="1:12" x14ac:dyDescent="0.2">
      <c r="A40" s="19" t="s">
        <v>32</v>
      </c>
      <c r="B40" s="6">
        <f>[1]!SPWS(Ticker,"ap[-10Y]")</f>
        <v>703.79998779296875</v>
      </c>
      <c r="C40" s="6">
        <f>[1]!SPWS(Ticker,"ap[-9Y]")</f>
        <v>767.20001220703125</v>
      </c>
      <c r="D40" s="6">
        <f>[1]!SPWS(Ticker,"ap[-8Y]")</f>
        <v>883.29998779296875</v>
      </c>
      <c r="E40" s="6">
        <f>[1]!SPWS(Ticker,"ap[-7Y]")</f>
        <v>910.4000244140625</v>
      </c>
      <c r="F40" s="6">
        <f>[1]!SPWS(Ticker,"ap[-6Y]")</f>
        <v>1081</v>
      </c>
      <c r="G40" s="6">
        <f>[1]!SPWS(Ticker,"ap[-5Y]")</f>
        <v>1135</v>
      </c>
      <c r="H40" s="6">
        <f>[1]!SPWS(Ticker,"ap[-4Y]")</f>
        <v>1077</v>
      </c>
      <c r="I40" s="6">
        <f>[1]!SPWS(Ticker,"ap[-3Y]")</f>
        <v>1149</v>
      </c>
      <c r="J40" s="6">
        <f>[1]!SPWS(Ticker,"ap[-2Y]")</f>
        <v>1189</v>
      </c>
      <c r="K40" s="6">
        <f>[1]!SPWS(Ticker,"ap[-1Y]")</f>
        <v>1402</v>
      </c>
      <c r="L40" s="6">
        <f>[1]!SPWS(Ticker,"ap[0Y]")</f>
        <v>1432</v>
      </c>
    </row>
    <row r="41" spans="1:12" x14ac:dyDescent="0.2">
      <c r="A41" s="19" t="s">
        <v>33</v>
      </c>
      <c r="B41" s="6">
        <f>[1]!SPWS(Ticker,"txp[-10Y]")</f>
        <v>143</v>
      </c>
      <c r="C41" s="6">
        <f>[1]!SPWS(Ticker,"txp[-9Y]")</f>
        <v>96.199996948242187</v>
      </c>
      <c r="D41" s="6">
        <f>[1]!SPWS(Ticker,"txp[-8Y]")</f>
        <v>148.30000305175781</v>
      </c>
      <c r="E41" s="6">
        <f>[1]!SPWS(Ticker,"txp[-7Y]")</f>
        <v>151.69999694824219</v>
      </c>
      <c r="F41" s="6">
        <f>[1]!SPWS(Ticker,"txp[-6Y]")</f>
        <v>0</v>
      </c>
      <c r="G41" s="6">
        <f>[1]!SPWS(Ticker,"txp[-5Y]")</f>
        <v>51</v>
      </c>
      <c r="H41" s="6">
        <f>[1]!SPWS(Ticker,"txp[-4Y]")</f>
        <v>33</v>
      </c>
      <c r="I41" s="6">
        <f>[1]!SPWS(Ticker,"txp[-3Y]")</f>
        <v>60</v>
      </c>
      <c r="J41" s="6">
        <f>[1]!SPWS(Ticker,"txp[-2Y]")</f>
        <v>66</v>
      </c>
      <c r="K41" s="6">
        <f>[1]!SPWS(Ticker,"txp[-1Y]")</f>
        <v>46</v>
      </c>
      <c r="L41" s="6">
        <f>[1]!SPWS(Ticker,"txp[0Y]")</f>
        <v>69</v>
      </c>
    </row>
    <row r="42" spans="1:12" s="5" customFormat="1" x14ac:dyDescent="0.2">
      <c r="A42" s="3" t="s">
        <v>34</v>
      </c>
      <c r="B42" s="4">
        <f>[1]!SPWS(Ticker,"lct[-10Y]")</f>
        <v>2766</v>
      </c>
      <c r="C42" s="4">
        <f>[1]!SPWS(Ticker,"lct[-9Y]")</f>
        <v>2846</v>
      </c>
      <c r="D42" s="4">
        <f>[1]!SPWS(Ticker,"lct[-8Y]")</f>
        <v>3162.800048828125</v>
      </c>
      <c r="E42" s="4">
        <f>[1]!SPWS(Ticker,"lct[-7Y]")</f>
        <v>4020.199951171875</v>
      </c>
      <c r="F42" s="4">
        <f>[1]!SPWS(Ticker,"lct[-6Y]")</f>
        <v>4044</v>
      </c>
      <c r="G42" s="4">
        <f>[1]!SPWS(Ticker,"lct[-5Y]")</f>
        <v>3552</v>
      </c>
      <c r="H42" s="4">
        <f>[1]!SPWS(Ticker,"lct[-4Y]")</f>
        <v>2288</v>
      </c>
      <c r="I42" s="4">
        <f>[1]!SPWS(Ticker,"lct[-3Y]")</f>
        <v>3184</v>
      </c>
      <c r="J42" s="4">
        <f>[1]!SPWS(Ticker,"lct[-2Y]")</f>
        <v>3313</v>
      </c>
      <c r="K42" s="4">
        <f>[1]!SPWS(Ticker,"lct[-1Y]")</f>
        <v>4523</v>
      </c>
      <c r="L42" s="4">
        <f>[1]!SPWS(Ticker,"lct[0Y]")</f>
        <v>3835</v>
      </c>
    </row>
    <row r="43" spans="1:12" x14ac:dyDescent="0.2">
      <c r="A43" s="19" t="s">
        <v>35</v>
      </c>
      <c r="B43" s="6">
        <f>[1]!SPWS(Ticker,"dltt[-10Y]")</f>
        <v>4265.39990234375</v>
      </c>
      <c r="C43" s="6">
        <f>[1]!SPWS(Ticker,"dltt[-9Y]")</f>
        <v>3895.5</v>
      </c>
      <c r="D43" s="6">
        <f>[1]!SPWS(Ticker,"dltt[-8Y]")</f>
        <v>3706.89990234375</v>
      </c>
      <c r="E43" s="6">
        <f>[1]!SPWS(Ticker,"dltt[-7Y]")</f>
        <v>3058.699951171875</v>
      </c>
      <c r="F43" s="6">
        <f>[1]!SPWS(Ticker,"dltt[-6Y]")</f>
        <v>3276</v>
      </c>
      <c r="G43" s="6">
        <f>[1]!SPWS(Ticker,"dltt[-5Y]")</f>
        <v>4073</v>
      </c>
      <c r="H43" s="6">
        <f>[1]!SPWS(Ticker,"dltt[-4Y]")</f>
        <v>4838</v>
      </c>
      <c r="I43" s="6">
        <f>[1]!SPWS(Ticker,"dltt[-3Y]")</f>
        <v>4911</v>
      </c>
      <c r="J43" s="6">
        <f>[1]!SPWS(Ticker,"dltt[-2Y]")</f>
        <v>5040</v>
      </c>
      <c r="K43" s="6">
        <f>[1]!SPWS(Ticker,"dltt[-1Y]")</f>
        <v>6084</v>
      </c>
      <c r="L43" s="6">
        <f>[1]!SPWS(Ticker,"dltt[0Y]")</f>
        <v>6335</v>
      </c>
    </row>
    <row r="44" spans="1:12" x14ac:dyDescent="0.2">
      <c r="A44" s="19" t="s">
        <v>36</v>
      </c>
      <c r="B44" s="6">
        <f>[1]!SPWS(Ticker,"txdb[-10Y]")</f>
        <v>1062.800048828125</v>
      </c>
      <c r="C44" s="6">
        <f>[1]!SPWS(Ticker,"txdb[-9Y]")</f>
        <v>1187.5999755859375</v>
      </c>
      <c r="D44" s="6">
        <f>[1]!SPWS(Ticker,"txdb[-8Y]")</f>
        <v>945.79998779296875</v>
      </c>
      <c r="E44" s="6">
        <f>[1]!SPWS(Ticker,"txdb[-7Y]")</f>
        <v>619.29998779296875</v>
      </c>
      <c r="F44" s="6">
        <f>[1]!SPWS(Ticker,"txdb[-6Y]")</f>
        <v>647</v>
      </c>
      <c r="G44" s="6">
        <f>[1]!SPWS(Ticker,"txdb[-5Y]")</f>
        <v>300</v>
      </c>
      <c r="H44" s="6">
        <f>[1]!SPWS(Ticker,"txdb[-4Y]")</f>
        <v>425</v>
      </c>
      <c r="I44" s="6">
        <f>[1]!SPWS(Ticker,"txdb[-3Y]")</f>
        <v>697</v>
      </c>
      <c r="J44" s="6">
        <f>[1]!SPWS(Ticker,"txdb[-2Y]")</f>
        <v>637</v>
      </c>
      <c r="K44" s="6">
        <f>[1]!SPWS(Ticker,"txdb[-1Y]")</f>
        <v>523</v>
      </c>
      <c r="L44" s="6">
        <f>[1]!SPWS(Ticker,"txdb[0Y]")</f>
        <v>928</v>
      </c>
    </row>
    <row r="45" spans="1:12" s="5" customFormat="1" x14ac:dyDescent="0.2">
      <c r="A45" s="3" t="s">
        <v>37</v>
      </c>
      <c r="B45" s="4">
        <f>[1]!SPWS(Ticker,"lt[-10Y]")</f>
        <v>8787.599609375</v>
      </c>
      <c r="C45" s="4">
        <f>[1]!SPWS(Ticker,"lt[-9Y]")</f>
        <v>8533.2001953125</v>
      </c>
      <c r="D45" s="4">
        <f>[1]!SPWS(Ticker,"lt[-8Y]")</f>
        <v>8290.7998046875</v>
      </c>
      <c r="E45" s="4">
        <f>[1]!SPWS(Ticker,"lt[-7Y]")</f>
        <v>8645</v>
      </c>
      <c r="F45" s="4">
        <f>[1]!SPWS(Ticker,"lt[-6Y]")</f>
        <v>8871</v>
      </c>
      <c r="G45" s="4">
        <f>[1]!SPWS(Ticker,"lt[-5Y]")</f>
        <v>9498</v>
      </c>
      <c r="H45" s="4">
        <f>[1]!SPWS(Ticker,"lt[-4Y]")</f>
        <v>8925</v>
      </c>
      <c r="I45" s="4">
        <f>[1]!SPWS(Ticker,"lt[-3Y]")</f>
        <v>9693</v>
      </c>
      <c r="J45" s="4">
        <f>[1]!SPWS(Ticker,"lt[-2Y]")</f>
        <v>10139</v>
      </c>
      <c r="K45" s="4">
        <f>[1]!SPWS(Ticker,"lt[-1Y]")</f>
        <v>12704</v>
      </c>
      <c r="L45" s="4">
        <f>[1]!SPWS(Ticker,"lt[0Y]")</f>
        <v>11867</v>
      </c>
    </row>
    <row r="46" spans="1:12" x14ac:dyDescent="0.2">
      <c r="A46" s="19" t="s">
        <v>38</v>
      </c>
      <c r="B46" s="6">
        <f>[1]!SPWS(Ticker,"pstk[-10Y]")</f>
        <v>0</v>
      </c>
      <c r="C46" s="6">
        <f>[1]!SPWS(Ticker,"pstk[-9Y]")</f>
        <v>0</v>
      </c>
      <c r="D46" s="6">
        <f>[1]!SPWS(Ticker,"pstk[-8Y]")</f>
        <v>0</v>
      </c>
      <c r="E46" s="6">
        <f>[1]!SPWS(Ticker,"pstk[-7Y]")</f>
        <v>0</v>
      </c>
      <c r="F46" s="6">
        <f>[1]!SPWS(Ticker,"pstk[-6Y]")</f>
        <v>0</v>
      </c>
      <c r="G46" s="6">
        <f>[1]!SPWS(Ticker,"pstk[-5Y]")</f>
        <v>0</v>
      </c>
      <c r="H46" s="6">
        <f>[1]!SPWS(Ticker,"pstk[-4Y]")</f>
        <v>0</v>
      </c>
      <c r="I46" s="6">
        <f>[1]!SPWS(Ticker,"pstk[-3Y]")</f>
        <v>0</v>
      </c>
      <c r="J46" s="6">
        <f>[1]!SPWS(Ticker,"pstk[-2Y]")</f>
        <v>0</v>
      </c>
      <c r="K46" s="6">
        <f>[1]!SPWS(Ticker,"pstk[-1Y]")</f>
        <v>0</v>
      </c>
      <c r="L46" s="6">
        <f>[1]!SPWS(Ticker,"pstk[0Y]")</f>
        <v>0</v>
      </c>
    </row>
    <row r="47" spans="1:12" x14ac:dyDescent="0.2">
      <c r="A47" s="19" t="s">
        <v>39</v>
      </c>
      <c r="B47" s="6">
        <f>[1]!SPWS(Ticker,"ceq[-10Y]")</f>
        <v>1443.199951171875</v>
      </c>
      <c r="C47" s="6">
        <f>[1]!SPWS(Ticker,"ceq[-9Y]")</f>
        <v>2257.199951171875</v>
      </c>
      <c r="D47" s="6">
        <f>[1]!SPWS(Ticker,"ceq[-8Y]")</f>
        <v>2283.699951171875</v>
      </c>
      <c r="E47" s="6">
        <f>[1]!SPWS(Ticker,"ceq[-7Y]")</f>
        <v>2069</v>
      </c>
      <c r="F47" s="6">
        <f>[1]!SPWS(Ticker,"ceq[-6Y]")</f>
        <v>2526</v>
      </c>
      <c r="G47" s="6">
        <f>[1]!SPWS(Ticker,"ceq[-5Y]")</f>
        <v>1448</v>
      </c>
      <c r="H47" s="6">
        <f>[1]!SPWS(Ticker,"ceq[-4Y]")</f>
        <v>2272</v>
      </c>
      <c r="I47" s="6">
        <f>[1]!SPWS(Ticker,"ceq[-3Y]")</f>
        <v>2158</v>
      </c>
      <c r="J47" s="6">
        <f>[1]!SPWS(Ticker,"ceq[-2Y]")</f>
        <v>1760</v>
      </c>
      <c r="K47" s="6">
        <f>[1]!SPWS(Ticker,"ceq[-1Y]")</f>
        <v>2419</v>
      </c>
      <c r="L47" s="6">
        <f>[1]!SPWS(Ticker,"ceq[0Y]")</f>
        <v>3545</v>
      </c>
    </row>
    <row r="48" spans="1:12" s="5" customFormat="1" x14ac:dyDescent="0.2">
      <c r="A48" s="3" t="s">
        <v>40</v>
      </c>
      <c r="B48" s="4">
        <f>[1]!SPWS(Ticker,"seq[-10Y]")</f>
        <v>1443.199951171875</v>
      </c>
      <c r="C48" s="4">
        <f>[1]!SPWS(Ticker,"seq[-9Y]")</f>
        <v>2257.199951171875</v>
      </c>
      <c r="D48" s="4">
        <f>[1]!SPWS(Ticker,"seq[-8Y]")</f>
        <v>2283.699951171875</v>
      </c>
      <c r="E48" s="4">
        <f>[1]!SPWS(Ticker,"seq[-7Y]")</f>
        <v>2069</v>
      </c>
      <c r="F48" s="4">
        <f>[1]!SPWS(Ticker,"seq[-6Y]")</f>
        <v>2526</v>
      </c>
      <c r="G48" s="4">
        <f>[1]!SPWS(Ticker,"seq[-5Y]")</f>
        <v>1448</v>
      </c>
      <c r="H48" s="4">
        <f>[1]!SPWS(Ticker,"seq[-4Y]")</f>
        <v>2272</v>
      </c>
      <c r="I48" s="4">
        <f>[1]!SPWS(Ticker,"seq[-3Y]")</f>
        <v>2158</v>
      </c>
      <c r="J48" s="4">
        <f>[1]!SPWS(Ticker,"seq[-2Y]")</f>
        <v>1760</v>
      </c>
      <c r="K48" s="4">
        <f>[1]!SPWS(Ticker,"seq[-1Y]")</f>
        <v>2419</v>
      </c>
      <c r="L48" s="4">
        <f>[1]!SPWS(Ticker,"seq[0Y]")</f>
        <v>3545</v>
      </c>
    </row>
    <row r="50" spans="1:12" x14ac:dyDescent="0.2">
      <c r="A50" s="3" t="s">
        <v>41</v>
      </c>
      <c r="B50" s="6">
        <f>[1]!SPWS(Ticker,"csho[-10Y]")</f>
        <v>409.70001220703125</v>
      </c>
      <c r="C50" s="6">
        <f>[1]!SPWS(Ticker,"csho[-9Y]")</f>
        <v>413.02200317382812</v>
      </c>
      <c r="D50" s="6">
        <f>[1]!SPWS(Ticker,"csho[-8Y]")</f>
        <v>405.32998657226562</v>
      </c>
      <c r="E50" s="6">
        <f>[1]!SPWS(Ticker,"csho[-7Y]")</f>
        <v>397.69699096679687</v>
      </c>
      <c r="F50" s="6">
        <f>[1]!SPWS(Ticker,"csho[-6Y]")</f>
        <v>390.05099487304687</v>
      </c>
      <c r="G50" s="6">
        <f>[1]!SPWS(Ticker,"csho[-5Y]")</f>
        <v>381.86099243164063</v>
      </c>
      <c r="H50" s="6">
        <f>[1]!SPWS(Ticker,"csho[-4Y]")</f>
        <v>381.3800048828125</v>
      </c>
      <c r="I50" s="6">
        <f>[1]!SPWS(Ticker,"csho[-3Y]")</f>
        <v>365.60400390625</v>
      </c>
      <c r="J50" s="6">
        <f>[1]!SPWS(Ticker,"csho[-2Y]")</f>
        <v>357.302001953125</v>
      </c>
      <c r="K50" s="6">
        <f>[1]!SPWS(Ticker,"csho[-1Y]")</f>
        <v>361.2659912109375</v>
      </c>
      <c r="L50" s="6">
        <f>[1]!SPWS(Ticker,"csho[0Y]")</f>
        <v>362.802001953125</v>
      </c>
    </row>
    <row r="51" spans="1:12" x14ac:dyDescent="0.2">
      <c r="A51" s="3" t="s">
        <v>42</v>
      </c>
      <c r="B51" s="6">
        <f>[1]!SPWS(Ticker,"PRCCF[-10Y]")</f>
        <v>38.080001831054688</v>
      </c>
      <c r="C51" s="6">
        <f>[1]!SPWS(Ticker,"PRCCF[-9Y]")</f>
        <v>44.659999847412109</v>
      </c>
      <c r="D51" s="6">
        <f>[1]!SPWS(Ticker,"PRCCF[-8Y]")</f>
        <v>43.220001220703125</v>
      </c>
      <c r="E51" s="6">
        <f>[1]!SPWS(Ticker,"PRCCF[-7Y]")</f>
        <v>50.060001373291016</v>
      </c>
      <c r="F51" s="6">
        <f>[1]!SPWS(Ticker,"PRCCF[-6Y]")</f>
        <v>52.430000305175781</v>
      </c>
      <c r="G51" s="6">
        <f>[1]!SPWS(Ticker,"PRCCF[-5Y]")</f>
        <v>43.849998474121094</v>
      </c>
      <c r="H51" s="6">
        <f>[1]!SPWS(Ticker,"PRCCF[-4Y]")</f>
        <v>53.200000762939453</v>
      </c>
      <c r="I51" s="6">
        <f>[1]!SPWS(Ticker,"PRCCF[-3Y]")</f>
        <v>51.080001831054688</v>
      </c>
      <c r="J51" s="6">
        <f>[1]!SPWS(Ticker,"PRCCF[-2Y]")</f>
        <v>50.569999694824219</v>
      </c>
      <c r="K51" s="6">
        <f>[1]!SPWS(Ticker,"PRCCF[-1Y]")</f>
        <v>55.849998474121094</v>
      </c>
      <c r="L51" s="6">
        <f>[1]!SPWS(Ticker,"PRCCF[0Y]")</f>
        <v>61.069999694824219</v>
      </c>
    </row>
    <row r="52" spans="1:12" x14ac:dyDescent="0.2">
      <c r="A52" s="3" t="s">
        <v>43</v>
      </c>
      <c r="B52" s="6">
        <f>[1]!SPWS(Ticker,"DVC[-10Y]")</f>
        <v>412.39999389648437</v>
      </c>
      <c r="C52" s="6">
        <f>[1]!SPWS(Ticker,"DVC[-9Y]")</f>
        <v>417.60000610351562</v>
      </c>
      <c r="D52" s="6">
        <f>[1]!SPWS(Ticker,"DVC[-8Y]")</f>
        <v>435.20001220703125</v>
      </c>
      <c r="E52" s="6">
        <f>[1]!SPWS(Ticker,"DVC[-7Y]")</f>
        <v>449.89999389648438</v>
      </c>
      <c r="F52" s="6">
        <f>[1]!SPWS(Ticker,"DVC[-6Y]")</f>
        <v>475</v>
      </c>
      <c r="G52" s="6">
        <f>[1]!SPWS(Ticker,"DVC[-5Y]")</f>
        <v>495</v>
      </c>
      <c r="H52" s="6">
        <f>[1]!SPWS(Ticker,"DVC[-4Y]")</f>
        <v>546</v>
      </c>
      <c r="I52" s="6">
        <f>[1]!SPWS(Ticker,"DVC[-3Y]")</f>
        <v>584</v>
      </c>
      <c r="J52" s="6">
        <f>[1]!SPWS(Ticker,"DVC[-2Y]")</f>
        <v>604</v>
      </c>
      <c r="K52" s="6">
        <f>[1]!SPWS(Ticker,"DVC[-1Y]")</f>
        <v>622</v>
      </c>
      <c r="L52" s="6">
        <f>[1]!SPWS(Ticker,"DVC[0Y]")</f>
        <v>653</v>
      </c>
    </row>
  </sheetData>
  <mergeCells count="4">
    <mergeCell ref="B2:C2"/>
    <mergeCell ref="B3:C3"/>
    <mergeCell ref="B4:C4"/>
    <mergeCell ref="B5:C5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Drake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cbpa.admin</dc:creator>
  <cp:lastModifiedBy>ISUH</cp:lastModifiedBy>
  <dcterms:created xsi:type="dcterms:W3CDTF">2006-01-20T20:14:00Z</dcterms:created>
  <dcterms:modified xsi:type="dcterms:W3CDTF">2015-01-29T16:19:25Z</dcterms:modified>
</cp:coreProperties>
</file>